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45" yWindow="105" windowWidth="13125" windowHeight="9600" tabRatio="940"/>
  </bookViews>
  <sheets>
    <sheet name="ведомость" sheetId="38" r:id="rId1"/>
    <sheet name="см1" sheetId="205" r:id="rId2"/>
    <sheet name="см2" sheetId="209" r:id="rId3"/>
    <sheet name="см3" sheetId="213" r:id="rId4"/>
    <sheet name="см 4" sheetId="95" r:id="rId5"/>
    <sheet name="см 5П" sheetId="72" r:id="rId6"/>
    <sheet name="АСУТП 1" sheetId="157" state="hidden" r:id="rId7"/>
    <sheet name="см 6" sheetId="74" r:id="rId8"/>
    <sheet name="см7" sheetId="79" r:id="rId9"/>
    <sheet name="см8" sheetId="150" state="hidden" r:id="rId10"/>
    <sheet name="см 8РД" sheetId="214" r:id="rId11"/>
    <sheet name="см 9" sheetId="114" r:id="rId12"/>
    <sheet name="см 10" sheetId="218" r:id="rId13"/>
    <sheet name="кал 1" sheetId="47" r:id="rId14"/>
    <sheet name="кал 2" sheetId="217" r:id="rId15"/>
  </sheets>
  <externalReferences>
    <externalReference r:id="rId16"/>
    <externalReference r:id="rId17"/>
    <externalReference r:id="rId18"/>
  </externalReferences>
  <definedNames>
    <definedName name="_xlnm.Print_Titles" localSheetId="4">'см 4'!$12:$12</definedName>
    <definedName name="_xlnm.Print_Titles" localSheetId="5">'см 5П'!$14:$14</definedName>
    <definedName name="_xlnm.Print_Titles" localSheetId="10">'см 8РД'!$14:$14</definedName>
    <definedName name="_xlnm.Print_Titles" localSheetId="1">см1!$19:$19</definedName>
    <definedName name="_xlnm.Print_Titles" localSheetId="2">см2!$26:$26</definedName>
    <definedName name="_xlnm.Print_Titles" localSheetId="3">см3!$10:$10</definedName>
    <definedName name="_xlnm.Print_Titles" localSheetId="9">см8!$14:$14</definedName>
    <definedName name="_xlnm.Print_Area" localSheetId="0">ведомость!$A$1:$F$44</definedName>
    <definedName name="_xlnm.Print_Area" localSheetId="13">'кал 1'!$A$1:$R$44</definedName>
    <definedName name="_xlnm.Print_Area" localSheetId="4">'см 4'!$A$1:$G$157</definedName>
    <definedName name="_xlnm.Print_Area" localSheetId="5">'см 5П'!$A$1:$G$121</definedName>
    <definedName name="_xlnm.Print_Area" localSheetId="7">'см 6'!$A$1:$G$39</definedName>
    <definedName name="_xlnm.Print_Area" localSheetId="11">'см 9'!$A$1:$G$49</definedName>
    <definedName name="_xlnm.Print_Area" localSheetId="1">см1!$A$1:$O$112</definedName>
    <definedName name="_xlnm.Print_Area" localSheetId="2">см2!$A$1:$N$189</definedName>
    <definedName name="_xlnm.Print_Area" localSheetId="3">см3!$A$1:$M$54</definedName>
    <definedName name="_xlnm.Print_Area" localSheetId="8">см7!$A$1:$E$47</definedName>
    <definedName name="_xlnm.Print_Area" localSheetId="9">см8!$A$1:$G$44</definedName>
  </definedNames>
  <calcPr calcId="145621" fullPrecision="0"/>
</workbook>
</file>

<file path=xl/calcChain.xml><?xml version="1.0" encoding="utf-8"?>
<calcChain xmlns="http://schemas.openxmlformats.org/spreadsheetml/2006/main">
  <c r="E17" i="218" l="1"/>
  <c r="G97" i="72" l="1"/>
  <c r="G90" i="72"/>
  <c r="G83" i="72"/>
  <c r="G72" i="72"/>
  <c r="G64" i="72"/>
  <c r="G58" i="72"/>
  <c r="G53" i="72"/>
  <c r="G47" i="72"/>
  <c r="G42" i="72"/>
  <c r="G37" i="72"/>
  <c r="G33" i="72"/>
  <c r="G29" i="72"/>
  <c r="G15" i="72"/>
  <c r="G114" i="95"/>
  <c r="G47" i="214" l="1"/>
  <c r="G103" i="214"/>
  <c r="G96" i="214"/>
  <c r="G89" i="214" l="1"/>
  <c r="G78" i="214"/>
  <c r="G70" i="214"/>
  <c r="G64" i="214"/>
  <c r="G59" i="214"/>
  <c r="G53" i="214"/>
  <c r="G42" i="214"/>
  <c r="G37" i="214"/>
  <c r="G33" i="214"/>
  <c r="G29" i="214"/>
  <c r="G15" i="214"/>
  <c r="G108" i="214" s="1"/>
  <c r="E14" i="79"/>
  <c r="G15" i="74"/>
  <c r="G15" i="114"/>
  <c r="D31" i="38" l="1"/>
  <c r="E18" i="218"/>
  <c r="E19" i="218" s="1"/>
  <c r="O48" i="205" l="1"/>
  <c r="O46" i="205"/>
  <c r="D18" i="38" l="1"/>
  <c r="G22" i="213"/>
  <c r="G20" i="213"/>
  <c r="G23" i="213" s="1"/>
  <c r="N53" i="205" l="1"/>
  <c r="O53" i="205" s="1"/>
  <c r="N52" i="205"/>
  <c r="O52" i="205" s="1"/>
  <c r="N57" i="205"/>
  <c r="O57" i="205" s="1"/>
  <c r="N58" i="205"/>
  <c r="O58" i="205" s="1"/>
  <c r="D26" i="38" l="1"/>
  <c r="D27" i="38" l="1"/>
  <c r="N48" i="205" l="1"/>
  <c r="N46" i="205"/>
  <c r="R31" i="217" l="1"/>
  <c r="R29" i="217" s="1"/>
  <c r="R19" i="217" s="1"/>
  <c r="N29" i="217"/>
  <c r="E28" i="217"/>
  <c r="N22" i="217"/>
  <c r="K28" i="217" s="1"/>
  <c r="N21" i="217"/>
  <c r="N18" i="217"/>
  <c r="N17" i="217"/>
  <c r="S26" i="217" l="1"/>
  <c r="N28" i="217"/>
  <c r="P26" i="217" s="1"/>
  <c r="P16" i="217"/>
  <c r="P19" i="217"/>
  <c r="P25" i="217" s="1"/>
  <c r="P30" i="217" l="1"/>
  <c r="P31" i="217" s="1"/>
  <c r="P32" i="217" s="1"/>
  <c r="P35" i="217" s="1"/>
  <c r="P36" i="217" s="1"/>
  <c r="D30" i="38" s="1"/>
  <c r="N26" i="205" l="1"/>
  <c r="G23" i="74" l="1"/>
  <c r="D24" i="38" s="1"/>
  <c r="A189" i="209"/>
  <c r="A186" i="209"/>
  <c r="N154" i="209"/>
  <c r="N145" i="209"/>
  <c r="K130" i="209"/>
  <c r="N130" i="209" s="1"/>
  <c r="K125" i="209"/>
  <c r="N125" i="209" s="1"/>
  <c r="K123" i="209"/>
  <c r="N123" i="209" s="1"/>
  <c r="N119" i="209"/>
  <c r="I142" i="209" s="1"/>
  <c r="N142" i="209" s="1"/>
  <c r="N116" i="209"/>
  <c r="F116" i="209"/>
  <c r="N114" i="209"/>
  <c r="F114" i="209"/>
  <c r="N112" i="209"/>
  <c r="N110" i="209"/>
  <c r="N108" i="209"/>
  <c r="N105" i="209"/>
  <c r="N103" i="209"/>
  <c r="N99" i="209"/>
  <c r="N96" i="209"/>
  <c r="N94" i="209"/>
  <c r="N91" i="209"/>
  <c r="N88" i="209"/>
  <c r="N85" i="209"/>
  <c r="N73" i="209"/>
  <c r="N71" i="209"/>
  <c r="N68" i="209"/>
  <c r="N67" i="209"/>
  <c r="N64" i="209"/>
  <c r="N57" i="209"/>
  <c r="N54" i="209"/>
  <c r="N51" i="209"/>
  <c r="N48" i="209"/>
  <c r="N45" i="209"/>
  <c r="N42" i="209"/>
  <c r="N39" i="209"/>
  <c r="N35" i="209"/>
  <c r="G14" i="95"/>
  <c r="G19" i="95"/>
  <c r="G28" i="95"/>
  <c r="G31" i="95"/>
  <c r="G35" i="95"/>
  <c r="G39" i="95"/>
  <c r="G54" i="95"/>
  <c r="G58" i="95"/>
  <c r="G64" i="95"/>
  <c r="G67" i="95"/>
  <c r="G74" i="95"/>
  <c r="G79" i="95"/>
  <c r="G87" i="95"/>
  <c r="G105" i="95"/>
  <c r="G109" i="95"/>
  <c r="A133" i="95"/>
  <c r="A135" i="95"/>
  <c r="I139" i="209"/>
  <c r="N139" i="209" s="1"/>
  <c r="O92" i="205"/>
  <c r="N91" i="205"/>
  <c r="O91" i="205" s="1"/>
  <c r="N89" i="205"/>
  <c r="O89" i="205" s="1"/>
  <c r="N85" i="205"/>
  <c r="O85" i="205" s="1"/>
  <c r="N84" i="205"/>
  <c r="O84" i="205" s="1"/>
  <c r="N78" i="205"/>
  <c r="O78" i="205" s="1"/>
  <c r="N77" i="205"/>
  <c r="O77" i="205" s="1"/>
  <c r="N65" i="205"/>
  <c r="O65" i="205" s="1"/>
  <c r="N63" i="205"/>
  <c r="O63" i="205" s="1"/>
  <c r="N42" i="205"/>
  <c r="O42" i="205" s="1"/>
  <c r="N41" i="205"/>
  <c r="O41" i="205" s="1"/>
  <c r="N37" i="205"/>
  <c r="O37" i="205" s="1"/>
  <c r="N36" i="205"/>
  <c r="O36" i="205" s="1"/>
  <c r="N32" i="205"/>
  <c r="O32" i="205" s="1"/>
  <c r="N31" i="205"/>
  <c r="O31" i="205" s="1"/>
  <c r="N27" i="205"/>
  <c r="O27" i="205" s="1"/>
  <c r="O26" i="205"/>
  <c r="G34" i="114"/>
  <c r="D29" i="38" s="1"/>
  <c r="G15" i="150"/>
  <c r="R28" i="47"/>
  <c r="R26" i="47"/>
  <c r="R16" i="47" s="1"/>
  <c r="N25" i="47"/>
  <c r="P22" i="47" s="1"/>
  <c r="E25" i="47"/>
  <c r="S22" i="47"/>
  <c r="D38" i="157"/>
  <c r="G38" i="157" s="1"/>
  <c r="D27" i="157"/>
  <c r="E32" i="79"/>
  <c r="D25" i="38" s="1"/>
  <c r="E11" i="74"/>
  <c r="P16" i="47"/>
  <c r="P21" i="47" s="1"/>
  <c r="L93" i="205" l="1"/>
  <c r="G102" i="72"/>
  <c r="D21" i="38" s="1"/>
  <c r="I132" i="209"/>
  <c r="N132" i="209" s="1"/>
  <c r="F130" i="209"/>
  <c r="I136" i="209"/>
  <c r="N136" i="209" s="1"/>
  <c r="N79" i="209"/>
  <c r="F125" i="209"/>
  <c r="N60" i="209"/>
  <c r="N81" i="209" s="1"/>
  <c r="P26" i="47"/>
  <c r="P27" i="47" s="1"/>
  <c r="G28" i="150"/>
  <c r="G39" i="157"/>
  <c r="G40" i="157" s="1"/>
  <c r="G42" i="157" s="1"/>
  <c r="G90" i="95"/>
  <c r="G91" i="95" s="1"/>
  <c r="G97" i="95" s="1"/>
  <c r="G98" i="95" s="1"/>
  <c r="G102" i="95" s="1"/>
  <c r="G112" i="95"/>
  <c r="G26" i="95"/>
  <c r="G43" i="95" s="1"/>
  <c r="G44" i="95" s="1"/>
  <c r="G48" i="95" s="1"/>
  <c r="G52" i="95" s="1"/>
  <c r="N121" i="209"/>
  <c r="F123" i="209"/>
  <c r="I148" i="209" l="1"/>
  <c r="N148" i="209" s="1"/>
  <c r="N150" i="209" s="1"/>
  <c r="N151" i="209" s="1"/>
  <c r="G103" i="72"/>
  <c r="P28" i="47"/>
  <c r="P29" i="47" s="1"/>
  <c r="G41" i="157"/>
  <c r="G43" i="157" s="1"/>
  <c r="G103" i="95"/>
  <c r="G116" i="95" s="1"/>
  <c r="G117" i="95" s="1"/>
  <c r="D19" i="38" s="1"/>
  <c r="I156" i="209"/>
  <c r="O93" i="205"/>
  <c r="J94" i="205" s="1"/>
  <c r="G106" i="72" l="1"/>
  <c r="D22" i="38"/>
  <c r="N156" i="209"/>
  <c r="I159" i="209" s="1"/>
  <c r="P30" i="47"/>
  <c r="D33" i="38" s="1"/>
  <c r="G44" i="157"/>
  <c r="G113" i="95"/>
  <c r="O94" i="205"/>
  <c r="L95" i="205" s="1"/>
  <c r="O95" i="205" l="1"/>
  <c r="L96" i="205" s="1"/>
  <c r="O96" i="205" s="1"/>
  <c r="D16" i="38" s="1"/>
  <c r="N159" i="209"/>
  <c r="N161" i="209" l="1"/>
  <c r="N162" i="209" s="1"/>
  <c r="I163" i="209" s="1"/>
  <c r="N163" i="209" s="1"/>
  <c r="N165" i="209" s="1"/>
  <c r="N167" i="209" s="1"/>
  <c r="I168" i="209" s="1"/>
  <c r="N168" i="209" s="1"/>
  <c r="N170" i="209" s="1"/>
  <c r="D17" i="38" s="1"/>
  <c r="D20" i="38" s="1"/>
  <c r="D35" i="38" s="1"/>
  <c r="D36" i="38" l="1"/>
  <c r="D37" i="38" s="1"/>
  <c r="G35" i="38" l="1"/>
</calcChain>
</file>

<file path=xl/sharedStrings.xml><?xml version="1.0" encoding="utf-8"?>
<sst xmlns="http://schemas.openxmlformats.org/spreadsheetml/2006/main" count="1656" uniqueCount="888">
  <si>
    <t>Градостроительный план</t>
  </si>
  <si>
    <t>Справ.базов. цен 2007г.</t>
  </si>
  <si>
    <t xml:space="preserve">К-1,43 районный </t>
  </si>
  <si>
    <t>во всех п.п.</t>
  </si>
  <si>
    <t>1.</t>
  </si>
  <si>
    <t>2.</t>
  </si>
  <si>
    <t>3.</t>
  </si>
  <si>
    <t>4.</t>
  </si>
  <si>
    <t>5.</t>
  </si>
  <si>
    <t>ИТОГО:</t>
  </si>
  <si>
    <t>1.1.</t>
  </si>
  <si>
    <t>-</t>
  </si>
  <si>
    <t>1.2.</t>
  </si>
  <si>
    <t>1.3.</t>
  </si>
  <si>
    <t>1.4.</t>
  </si>
  <si>
    <t>1.5.</t>
  </si>
  <si>
    <t>2.2.</t>
  </si>
  <si>
    <t>ОАО "СН-МНГ"</t>
  </si>
  <si>
    <t>Наименование работ</t>
  </si>
  <si>
    <t>ВСЕГО:</t>
  </si>
  <si>
    <t>Виды пректных работ</t>
  </si>
  <si>
    <t>Расчет стоимости проектных работ</t>
  </si>
  <si>
    <t>Стоимость (тыс.руб.)</t>
  </si>
  <si>
    <t>№№
пп</t>
  </si>
  <si>
    <t>ОАО “СН-МНГ”</t>
  </si>
  <si>
    <t xml:space="preserve">К-1,43 районный и далее </t>
  </si>
  <si>
    <t>Проектная документация.</t>
  </si>
  <si>
    <t>К-0,4 П и далее по пп.</t>
  </si>
  <si>
    <t>От Подрядчика:</t>
  </si>
  <si>
    <t>От Заказчика:</t>
  </si>
  <si>
    <t>С М Е Т А    №6</t>
  </si>
  <si>
    <t>и далее во всех пп.</t>
  </si>
  <si>
    <t>№№
п/п</t>
  </si>
  <si>
    <t>ВСЕГО по смете:</t>
  </si>
  <si>
    <t>тыс.руб.</t>
  </si>
  <si>
    <t>Наименование организации</t>
  </si>
  <si>
    <t xml:space="preserve"> </t>
  </si>
  <si>
    <t>Справ.базов.цен 99г.</t>
  </si>
  <si>
    <t>Инж-геол.и инж-экол.изыск.</t>
  </si>
  <si>
    <t xml:space="preserve">Районый коэффициент и </t>
  </si>
  <si>
    <t>северная надбавка</t>
  </si>
  <si>
    <t>Повышающий коэффициент</t>
  </si>
  <si>
    <t>(инфляционный индекс)</t>
  </si>
  <si>
    <t>№ п/п</t>
  </si>
  <si>
    <t>Наименование статей затрат</t>
  </si>
  <si>
    <t>Сумма, 
тыс. руб.</t>
  </si>
  <si>
    <t>Материалы, всего:
в том числе:</t>
  </si>
  <si>
    <t>Бумага А4:</t>
  </si>
  <si>
    <t>руб.*</t>
  </si>
  <si>
    <t>листов</t>
  </si>
  <si>
    <t>руб.</t>
  </si>
  <si>
    <t>Картридж А4:</t>
  </si>
  <si>
    <t>Фонд оплаты труда 
производственного персонала:
в том числе:</t>
  </si>
  <si>
    <t>Среднемесячная зарплата 1-го работника:</t>
  </si>
  <si>
    <t>Среднедневная з/плата 1-го работника:</t>
  </si>
  <si>
    <t>Продолжительность данной  работы:</t>
  </si>
  <si>
    <t>дней</t>
  </si>
  <si>
    <t>Занято выполнением данной работы:</t>
  </si>
  <si>
    <t>чел.</t>
  </si>
  <si>
    <t>*</t>
  </si>
  <si>
    <t>=</t>
  </si>
  <si>
    <t>Амортизация производственного оборудования</t>
  </si>
  <si>
    <t>Наименование оборудования</t>
  </si>
  <si>
    <r>
      <t xml:space="preserve">Компьютер "Pentium"
</t>
    </r>
    <r>
      <rPr>
        <i/>
        <sz val="9"/>
        <color indexed="23"/>
        <rFont val="Times New Roman"/>
        <family val="1"/>
        <charset val="204"/>
      </rPr>
      <t>(32175 руб./24 мес./21 день):</t>
    </r>
  </si>
  <si>
    <t>ед.</t>
  </si>
  <si>
    <t>6.</t>
  </si>
  <si>
    <t>Итого прямых затрат</t>
  </si>
  <si>
    <t>Итого себестоимость продукции</t>
  </si>
  <si>
    <t>Всего договорная цена</t>
  </si>
  <si>
    <t>кол-во</t>
  </si>
  <si>
    <t>,</t>
  </si>
  <si>
    <t>Виды проектных работ</t>
  </si>
  <si>
    <t>Стоимость
(тыс.руб.)</t>
  </si>
  <si>
    <t>Работы в стационарных условиях (камеральные работы)</t>
  </si>
  <si>
    <t>Сбор, изучение и система-</t>
  </si>
  <si>
    <t>тизация материалов изыска-</t>
  </si>
  <si>
    <t>ний прошлых лет по цифровым</t>
  </si>
  <si>
    <t>Таб.78,  &amp;2</t>
  </si>
  <si>
    <t>Составление программы</t>
  </si>
  <si>
    <t>800*1,4=</t>
  </si>
  <si>
    <t>на производство работ по</t>
  </si>
  <si>
    <t>инженерно-экологическим</t>
  </si>
  <si>
    <t>Таб.81,  &amp;1</t>
  </si>
  <si>
    <t>изысканиям</t>
  </si>
  <si>
    <t xml:space="preserve">Составление технического </t>
  </si>
  <si>
    <t xml:space="preserve">отчета (в т.ч.прогноз </t>
  </si>
  <si>
    <r>
      <t xml:space="preserve">Таб.87 </t>
    </r>
    <r>
      <rPr>
        <sz val="8"/>
        <rFont val="Arial Cyr"/>
        <charset val="204"/>
      </rPr>
      <t>&amp;</t>
    </r>
    <r>
      <rPr>
        <sz val="8"/>
        <rFont val="Times New Roman"/>
        <family val="1"/>
      </rPr>
      <t>1</t>
    </r>
  </si>
  <si>
    <t>2.7.</t>
  </si>
  <si>
    <t>Таб.3,  &amp;8 Общих указаний</t>
  </si>
  <si>
    <t xml:space="preserve">К-1,6 </t>
  </si>
  <si>
    <t>ВСЕГО  по разделу 2:</t>
  </si>
  <si>
    <t>Составление картографи-</t>
  </si>
  <si>
    <t>ческих приложений в</t>
  </si>
  <si>
    <t>7.</t>
  </si>
  <si>
    <r>
      <t xml:space="preserve">Лазерный принтер HP Laser Jet 9050 
</t>
    </r>
    <r>
      <rPr>
        <i/>
        <sz val="9"/>
        <color indexed="23"/>
        <rFont val="Times New Roman"/>
        <family val="1"/>
        <charset val="204"/>
      </rPr>
      <t>(73355руб./24мес./21день).</t>
    </r>
  </si>
  <si>
    <t>8.</t>
  </si>
  <si>
    <t>Описание точек наблюдений</t>
  </si>
  <si>
    <t>при составлении инженерно-</t>
  </si>
  <si>
    <t>экологических карт с</t>
  </si>
  <si>
    <t>Таб.11,  &amp;2</t>
  </si>
  <si>
    <t xml:space="preserve">учетом типов экосистем, </t>
  </si>
  <si>
    <t>Стадия проектирования</t>
  </si>
  <si>
    <t>Проектная и рабочая документация</t>
  </si>
  <si>
    <t>Наименование проектной</t>
  </si>
  <si>
    <t>Стоимость</t>
  </si>
  <si>
    <t>Наименование Подрядчика</t>
  </si>
  <si>
    <t>Наименование Заказчика</t>
  </si>
  <si>
    <t>2.3.</t>
  </si>
  <si>
    <t>СБ и ОНЗТ на изготовл.</t>
  </si>
  <si>
    <t>проектной и изыскат.прод.</t>
  </si>
  <si>
    <t>землеустр-ва, зем.кадастра</t>
  </si>
  <si>
    <t>и мониторинга земель,</t>
  </si>
  <si>
    <t>1996г.</t>
  </si>
  <si>
    <t>Выбор площадок для</t>
  </si>
  <si>
    <t>строительства объектов</t>
  </si>
  <si>
    <t>(Mapinfo ПЗ) в СК</t>
  </si>
  <si>
    <t>Заказчика:</t>
  </si>
  <si>
    <t xml:space="preserve">площадные объекты - </t>
  </si>
  <si>
    <t>таб.70</t>
  </si>
  <si>
    <t>Ка=1,3 п.1 примеч.:</t>
  </si>
  <si>
    <t>1,0+0,3*(2-1)</t>
  </si>
  <si>
    <t>Кв=1,3 п.7 примеч.</t>
  </si>
  <si>
    <t>2.4.</t>
  </si>
  <si>
    <t>Полевые работы (III кат.сложности)</t>
  </si>
  <si>
    <t xml:space="preserve">Рекогносцировочное </t>
  </si>
  <si>
    <t>карты фактического мате-</t>
  </si>
  <si>
    <t>Итого по п. 1:</t>
  </si>
  <si>
    <t>ИТОГО по разделу 1:</t>
  </si>
  <si>
    <t>2.1</t>
  </si>
  <si>
    <t>2.5.</t>
  </si>
  <si>
    <t>2.6.</t>
  </si>
  <si>
    <t>ИТОГО по разделу 2:</t>
  </si>
  <si>
    <t>ИТОГО по разделам 1-2:</t>
  </si>
  <si>
    <t>2</t>
  </si>
  <si>
    <t>3</t>
  </si>
  <si>
    <t>4</t>
  </si>
  <si>
    <t xml:space="preserve">  Стоимость  (без НДС), руб.</t>
  </si>
  <si>
    <t>НДС 18%</t>
  </si>
  <si>
    <t>Всего с НДС:</t>
  </si>
  <si>
    <t>ИТОГО по договору:</t>
  </si>
  <si>
    <t>Ед.изм.</t>
  </si>
  <si>
    <t>Объем работ</t>
  </si>
  <si>
    <t>км</t>
  </si>
  <si>
    <t>Справ.базов. цен 2003г.</t>
  </si>
  <si>
    <t>Объекты энергетики</t>
  </si>
  <si>
    <t>РАО "ЕЭС России"</t>
  </si>
  <si>
    <t>Таб.11</t>
  </si>
  <si>
    <t>шт.</t>
  </si>
  <si>
    <t>Справ.базов. цен 2006г.</t>
  </si>
  <si>
    <t xml:space="preserve">Объекты нефтедоб. </t>
  </si>
  <si>
    <t>*0,909=</t>
  </si>
  <si>
    <t>промышленности</t>
  </si>
  <si>
    <t>К-1,15 п.3.7. Метод.указан.</t>
  </si>
  <si>
    <t>по применен. СБЦ 2009г.</t>
  </si>
  <si>
    <t>К-0,909 без эл.хим.защиты</t>
  </si>
  <si>
    <t>и вагона обогрева рабочих</t>
  </si>
  <si>
    <t>Объекты нефтедоб. пром.</t>
  </si>
  <si>
    <t>Трубопровод системы</t>
  </si>
  <si>
    <t>сбора и транспорта</t>
  </si>
  <si>
    <t>Таб.2 п.6.1.</t>
  </si>
  <si>
    <t>К-0,96 без эл.хим.защиты</t>
  </si>
  <si>
    <t>точек</t>
  </si>
  <si>
    <t xml:space="preserve">Отбор пробы почвы для </t>
  </si>
  <si>
    <t xml:space="preserve">анализа на загрязненность </t>
  </si>
  <si>
    <t>Таб.60, &amp;7</t>
  </si>
  <si>
    <t>1.6.</t>
  </si>
  <si>
    <t>Отбор проб воздуха</t>
  </si>
  <si>
    <t>Таб.60, &amp;8</t>
  </si>
  <si>
    <t>показателям, 320 шт.</t>
  </si>
  <si>
    <t>цифр.</t>
  </si>
  <si>
    <t>показ.</t>
  </si>
  <si>
    <t>4,3*32=</t>
  </si>
  <si>
    <t>К-19,65</t>
  </si>
  <si>
    <t>га</t>
  </si>
  <si>
    <t>Автодороги общ.пользов.</t>
  </si>
  <si>
    <t>Таб.2 п.1.</t>
  </si>
  <si>
    <t>Мероприятия по</t>
  </si>
  <si>
    <t>охране окружающей</t>
  </si>
  <si>
    <t>среды</t>
  </si>
  <si>
    <t>Наименование объекта</t>
  </si>
  <si>
    <t>Разработка документации по объекту:</t>
  </si>
  <si>
    <t xml:space="preserve">проектирования, вида работ, стадии </t>
  </si>
  <si>
    <t>(изыскательской) организации</t>
  </si>
  <si>
    <t>Заказчика</t>
  </si>
  <si>
    <t>Используемая нормативная документация:</t>
  </si>
  <si>
    <t>1. Справочник базовых цен на разработку технической документации на  АСУТП, утвержден МПРФ 14.03.1997 г.</t>
  </si>
  <si>
    <t>2. Письмо Минрегиона России № 21713-СК/08 от 13.07.2009г. "Индексы изменения сметной стоимости проектных и изыскательсикх работ на III квартал 2009 г."</t>
  </si>
  <si>
    <r>
      <t xml:space="preserve">3. Письмо ОАО "РИТЭК" № ??? от ??.??.2009г. С индексом 13.0. </t>
    </r>
    <r>
      <rPr>
        <b/>
        <sz val="10"/>
        <rFont val="Times New Roman"/>
        <family val="1"/>
        <charset val="204"/>
      </rPr>
      <t>???</t>
    </r>
  </si>
  <si>
    <t>Поз.</t>
  </si>
  <si>
    <t>Характеристика предприятия, здания, сооружения или виды работ</t>
  </si>
  <si>
    <t>№№ раздела таблицы, указания к разделу или таблицы сборника цен</t>
  </si>
  <si>
    <t>Расчет стоимости</t>
  </si>
  <si>
    <t>1</t>
  </si>
  <si>
    <t>1.1</t>
  </si>
  <si>
    <t>Коэффициенты к ценам:</t>
  </si>
  <si>
    <t>Табл.  1</t>
  </si>
  <si>
    <r>
      <t>К</t>
    </r>
    <r>
      <rPr>
        <vertAlign val="subscript"/>
        <sz val="10"/>
        <rFont val="Times New Roman"/>
        <family val="1"/>
        <charset val="204"/>
      </rPr>
      <t>10.2</t>
    </r>
    <r>
      <rPr>
        <sz val="10"/>
        <rFont val="Times New Roman"/>
        <family val="1"/>
      </rPr>
      <t>=</t>
    </r>
  </si>
  <si>
    <t xml:space="preserve"> - холодный климат.</t>
  </si>
  <si>
    <r>
      <t>К</t>
    </r>
    <r>
      <rPr>
        <vertAlign val="subscript"/>
        <sz val="10"/>
        <rFont val="Times New Roman"/>
        <family val="1"/>
        <charset val="204"/>
      </rPr>
      <t>7</t>
    </r>
    <r>
      <rPr>
        <sz val="10"/>
        <rFont val="Times New Roman"/>
        <family val="1"/>
      </rPr>
      <t>=</t>
    </r>
  </si>
  <si>
    <t xml:space="preserve"> - использование для сети передачи данных.</t>
  </si>
  <si>
    <r>
      <t>К</t>
    </r>
    <r>
      <rPr>
        <vertAlign val="subscript"/>
        <sz val="10"/>
        <rFont val="Times New Roman"/>
        <family val="1"/>
        <charset val="204"/>
      </rPr>
      <t>1</t>
    </r>
    <r>
      <rPr>
        <sz val="10"/>
        <rFont val="Times New Roman"/>
        <family val="1"/>
      </rPr>
      <t>=</t>
    </r>
  </si>
  <si>
    <t xml:space="preserve"> - повторное применение проектных решений.</t>
  </si>
  <si>
    <r>
      <t>К</t>
    </r>
    <r>
      <rPr>
        <b/>
        <vertAlign val="subscript"/>
        <sz val="10"/>
        <rFont val="Times New Roman"/>
        <family val="1"/>
      </rPr>
      <t>общ</t>
    </r>
    <r>
      <rPr>
        <b/>
        <sz val="10"/>
        <rFont val="Times New Roman"/>
        <family val="1"/>
      </rPr>
      <t xml:space="preserve"> =</t>
    </r>
  </si>
  <si>
    <t>(1+(0.1+0.1))*0.3</t>
  </si>
  <si>
    <t>1.2</t>
  </si>
  <si>
    <t>Трудоемкость разработки ТО:</t>
  </si>
  <si>
    <t>Табл.  4</t>
  </si>
  <si>
    <r>
      <t>Ф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 xml:space="preserve"> =</t>
    </r>
  </si>
  <si>
    <t xml:space="preserve"> - непрерывный</t>
  </si>
  <si>
    <r>
      <t>Ф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 xml:space="preserve"> = </t>
    </r>
  </si>
  <si>
    <t>-  св. 0 до 5 операций</t>
  </si>
  <si>
    <r>
      <t>Ф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 xml:space="preserve"> = </t>
    </r>
  </si>
  <si>
    <t>- II степень</t>
  </si>
  <si>
    <r>
      <t>Ф</t>
    </r>
    <r>
      <rPr>
        <vertAlign val="subscript"/>
        <sz val="10"/>
        <rFont val="Times New Roman"/>
        <family val="1"/>
      </rPr>
      <t>7</t>
    </r>
    <r>
      <rPr>
        <sz val="10"/>
        <rFont val="Times New Roman"/>
        <family val="1"/>
      </rPr>
      <t xml:space="preserve"> = </t>
    </r>
  </si>
  <si>
    <t>- II степень, жесткий цикл</t>
  </si>
  <si>
    <r>
      <t>Ф</t>
    </r>
    <r>
      <rPr>
        <vertAlign val="subscript"/>
        <sz val="10"/>
        <rFont val="Times New Roman"/>
        <family val="1"/>
      </rPr>
      <t>8</t>
    </r>
    <r>
      <rPr>
        <sz val="10"/>
        <rFont val="Times New Roman"/>
        <family val="1"/>
      </rPr>
      <t xml:space="preserve"> = </t>
    </r>
  </si>
  <si>
    <t>- автоматический режим прямого цифрового упр-я</t>
  </si>
  <si>
    <r>
      <t>Ф</t>
    </r>
    <r>
      <rPr>
        <vertAlign val="subscript"/>
        <sz val="10"/>
        <rFont val="Times New Roman"/>
        <family val="1"/>
      </rPr>
      <t>9</t>
    </r>
    <r>
      <rPr>
        <sz val="10"/>
        <rFont val="Times New Roman"/>
        <family val="1"/>
      </rPr>
      <t xml:space="preserve"> = </t>
    </r>
  </si>
  <si>
    <r>
      <t>Ф</t>
    </r>
    <r>
      <rPr>
        <vertAlign val="subscript"/>
        <sz val="10"/>
        <rFont val="Times New Roman"/>
        <family val="1"/>
        <charset val="204"/>
      </rPr>
      <t>10</t>
    </r>
    <r>
      <rPr>
        <sz val="10"/>
        <rFont val="Times New Roman"/>
        <family val="1"/>
      </rPr>
      <t xml:space="preserve"> = </t>
    </r>
  </si>
  <si>
    <r>
      <t>Б</t>
    </r>
    <r>
      <rPr>
        <b/>
        <vertAlign val="subscript"/>
        <sz val="10"/>
        <rFont val="Times New Roman"/>
        <family val="1"/>
      </rPr>
      <t>общ</t>
    </r>
    <r>
      <rPr>
        <b/>
        <sz val="10"/>
        <rFont val="Times New Roman"/>
        <family val="1"/>
      </rPr>
      <t>=</t>
    </r>
  </si>
  <si>
    <t>Табл. 5</t>
  </si>
  <si>
    <t>1.3</t>
  </si>
  <si>
    <t>Цена разработки ТО</t>
  </si>
  <si>
    <t>Стадия "Проектная документация" (К=0,4)</t>
  </si>
  <si>
    <t>Стадия "Рабочая документация" (К=0,6)</t>
  </si>
  <si>
    <t>ИТОГО по смете без НДС:</t>
  </si>
  <si>
    <t>ОАО «СН-МНГ»</t>
  </si>
  <si>
    <t>Раздел "Анализ опасности и риска проектируемых объектов"</t>
  </si>
  <si>
    <t>№№ частей, глав, таблиц, №№ пунктов, указаний   к разделу или главе сборника цен</t>
  </si>
  <si>
    <t>Раздел "Анализ опасности</t>
  </si>
  <si>
    <t>67,95*0,33*1,43*</t>
  </si>
  <si>
    <t>и риска проектируемых</t>
  </si>
  <si>
    <t>Объекты газовой пром.</t>
  </si>
  <si>
    <t>объектов"</t>
  </si>
  <si>
    <t>Таб.10 п.10.</t>
  </si>
  <si>
    <t>К-0,33 п.3 гл.3.5.</t>
  </si>
  <si>
    <t>Инжненерно-технические мероприятия ГО и ЧС согласно 
СП 11-107-98.</t>
  </si>
  <si>
    <t>№№ пп</t>
  </si>
  <si>
    <t xml:space="preserve">Мероприятия по </t>
  </si>
  <si>
    <t xml:space="preserve">Справ.базов. цен 2006г. </t>
  </si>
  <si>
    <t>30500*1,3*1,04*1,3*0,9*1,15*</t>
  </si>
  <si>
    <t xml:space="preserve">предупреждению </t>
  </si>
  <si>
    <t>ИТМ ГО. МПЧС.</t>
  </si>
  <si>
    <t>ГО и ЧС,</t>
  </si>
  <si>
    <t>Защ.сооружения ГО</t>
  </si>
  <si>
    <t>(III кат. сложности)</t>
  </si>
  <si>
    <t>гл.1</t>
  </si>
  <si>
    <t>техноген.=6 шт.</t>
  </si>
  <si>
    <t>всего 1 объект</t>
  </si>
  <si>
    <t>Кго=1,04 п.2 гл.1</t>
  </si>
  <si>
    <t>брак во время пр-ва СМР;  корро-</t>
  </si>
  <si>
    <t>Коб=1,15 п.2 гл.1</t>
  </si>
  <si>
    <t>нефти и системы ППД;  наруше-</t>
  </si>
  <si>
    <t xml:space="preserve"> 01.01.2001 г. </t>
  </si>
  <si>
    <t>ураган, ливень, гроза, град и т.д.)</t>
  </si>
  <si>
    <t>ВСЕГО=8 шт.</t>
  </si>
  <si>
    <t>1 объект</t>
  </si>
  <si>
    <t>Стоимость (руб.)</t>
  </si>
  <si>
    <t>9.</t>
  </si>
  <si>
    <t>10.</t>
  </si>
  <si>
    <t>Виды изыскательских работ</t>
  </si>
  <si>
    <t>Полевые работы</t>
  </si>
  <si>
    <t>Камеральные работы</t>
  </si>
  <si>
    <t>Расходы по внутреннему транспорту</t>
  </si>
  <si>
    <t>С учетом инфляционного коэффициента</t>
  </si>
  <si>
    <t>Наименование вида</t>
  </si>
  <si>
    <t xml:space="preserve"> изыскательских работ</t>
  </si>
  <si>
    <t xml:space="preserve"> организации</t>
  </si>
  <si>
    <t>заказчика</t>
  </si>
  <si>
    <t>Расчет</t>
  </si>
  <si>
    <t>№№</t>
  </si>
  <si>
    <t xml:space="preserve">№№ пунктов, указний </t>
  </si>
  <si>
    <t>стоимости</t>
  </si>
  <si>
    <t>в руб.</t>
  </si>
  <si>
    <t>пп</t>
  </si>
  <si>
    <t>к разделу или главе</t>
  </si>
  <si>
    <t>изыскательских</t>
  </si>
  <si>
    <t>сборника цен</t>
  </si>
  <si>
    <t>работ</t>
  </si>
  <si>
    <t>Справочник укрупненных базовых цен на инженерно-геодезические изыскания для строительства</t>
  </si>
  <si>
    <t>Госстрой России, Москва 2004г.</t>
  </si>
  <si>
    <t xml:space="preserve">Создание плановой опорной сети 2 разряда  </t>
  </si>
  <si>
    <t>2 кат.сложности</t>
  </si>
  <si>
    <t>х</t>
  </si>
  <si>
    <t>а) полевые работы</t>
  </si>
  <si>
    <t>б) камеральные работы</t>
  </si>
  <si>
    <t>б) камеральные работы (AutoCAD)</t>
  </si>
  <si>
    <t>Создание инженерных топопланов, высота</t>
  </si>
  <si>
    <t xml:space="preserve">а) камеральные работы MapInfo по </t>
  </si>
  <si>
    <t>классификатору ФСГ</t>
  </si>
  <si>
    <t>Содержание изыскательской базы</t>
  </si>
  <si>
    <t>Расходы по организации и ликвидации работ</t>
  </si>
  <si>
    <t>п.13, к=2.5 прим.1</t>
  </si>
  <si>
    <t>Районный коэффициент и северная надбавка</t>
  </si>
  <si>
    <t>Табл.3 пр.'д','е'</t>
  </si>
  <si>
    <t xml:space="preserve"> Наименование предприятия, здания,</t>
  </si>
  <si>
    <t xml:space="preserve"> сооружения, стадии проектирования,</t>
  </si>
  <si>
    <t xml:space="preserve"> этапа, вида проектных или</t>
  </si>
  <si>
    <t xml:space="preserve"> Наименование проектной</t>
  </si>
  <si>
    <t xml:space="preserve"> (изыскательской) организации</t>
  </si>
  <si>
    <t xml:space="preserve"> Наименование организации</t>
  </si>
  <si>
    <t xml:space="preserve"> заказчика</t>
  </si>
  <si>
    <t>№</t>
  </si>
  <si>
    <t>№№ частей,</t>
  </si>
  <si>
    <t xml:space="preserve">     Расчет стоимости</t>
  </si>
  <si>
    <t>Стои-</t>
  </si>
  <si>
    <t>п/п</t>
  </si>
  <si>
    <t>глав, таблиц,</t>
  </si>
  <si>
    <t xml:space="preserve">       изыскательских</t>
  </si>
  <si>
    <t xml:space="preserve"> мость,</t>
  </si>
  <si>
    <t>мость,</t>
  </si>
  <si>
    <t>№№ пунктов,</t>
  </si>
  <si>
    <t>указаний к</t>
  </si>
  <si>
    <t>Тыс.руб.</t>
  </si>
  <si>
    <t>разделу или</t>
  </si>
  <si>
    <t>главе</t>
  </si>
  <si>
    <t>Справочник базовых цен на инженерно-геологические и инж-экологические</t>
  </si>
  <si>
    <t>изыскания для строительства</t>
  </si>
  <si>
    <t>Госстрой России, Москва , 1999 СБЦ</t>
  </si>
  <si>
    <t>Буровые работы</t>
  </si>
  <si>
    <t xml:space="preserve">Колонковое бурение с нач. диам. до 160мм </t>
  </si>
  <si>
    <t>СБЦ   т.17 &amp;2</t>
  </si>
  <si>
    <t>x</t>
  </si>
  <si>
    <t>1 катег. породы, глубина скв. св. 15 до 25м</t>
  </si>
  <si>
    <t>2 катег. породы, глубина скв. св. 15 до 25м</t>
  </si>
  <si>
    <t>СБЦ   т.17 &amp;1</t>
  </si>
  <si>
    <t>1 катег. породы, глубина скв. до 15м</t>
  </si>
  <si>
    <t>2 катег. породы, глубина скв. до 15м</t>
  </si>
  <si>
    <t xml:space="preserve">Ручное бурение с нач. диам. до 127мм </t>
  </si>
  <si>
    <t xml:space="preserve">Ручное бурение с нач. диам. до 89мм </t>
  </si>
  <si>
    <t>Итого  буровых  работ</t>
  </si>
  <si>
    <t xml:space="preserve">          Опытные  работы</t>
  </si>
  <si>
    <t xml:space="preserve">Испытания грунтов метод. вращательного </t>
  </si>
  <si>
    <t>среза на глубину до 10м</t>
  </si>
  <si>
    <t>Отбор монолитов с глубины до 10м</t>
  </si>
  <si>
    <t>СБЦ т.57 &amp;1</t>
  </si>
  <si>
    <t xml:space="preserve">Статическое зондирование грунтов </t>
  </si>
  <si>
    <t xml:space="preserve">          глубиной св.10 до15м</t>
  </si>
  <si>
    <t>СБЦ  т.45 &amp;5</t>
  </si>
  <si>
    <t>Итого  опытных  работ</t>
  </si>
  <si>
    <t>Всего  полевых  работ</t>
  </si>
  <si>
    <t xml:space="preserve">     Лабораторные работы</t>
  </si>
  <si>
    <t xml:space="preserve">Полный комплекс физико- </t>
  </si>
  <si>
    <t>СБЦ т.63 &amp;25</t>
  </si>
  <si>
    <t>Полный комплекс определений</t>
  </si>
  <si>
    <t>СБЦ т.65 &amp;1</t>
  </si>
  <si>
    <t>физических свойств</t>
  </si>
  <si>
    <t xml:space="preserve">Определение консистенции при </t>
  </si>
  <si>
    <t>СБЦ т.63 &amp;3</t>
  </si>
  <si>
    <t>нарушенной структуре</t>
  </si>
  <si>
    <t xml:space="preserve">Влажность породы </t>
  </si>
  <si>
    <t>СБЦ т.64 &amp;1</t>
  </si>
  <si>
    <t xml:space="preserve">Определение угла естественного откоса </t>
  </si>
  <si>
    <t>СБЦ т.64 &amp;4</t>
  </si>
  <si>
    <t>в сухом состоянии или под водой</t>
  </si>
  <si>
    <t xml:space="preserve">Гранулометрический анализ на ситах  с </t>
  </si>
  <si>
    <t>СБЦ т.64 &amp;7</t>
  </si>
  <si>
    <t xml:space="preserve">разделением на фракции 0.5; 0.25;0.1мм </t>
  </si>
  <si>
    <t>с кипячением и промывкой</t>
  </si>
  <si>
    <t xml:space="preserve">Орган-кие вещества методом прокаливания </t>
  </si>
  <si>
    <t>СБЦ т.75 &amp;4</t>
  </si>
  <si>
    <t xml:space="preserve">Коррозионная активность  грунтов по </t>
  </si>
  <si>
    <t>отношению к стали</t>
  </si>
  <si>
    <t xml:space="preserve">Сокращенный анализ воды </t>
  </si>
  <si>
    <t>СБЦ т.73 &amp;3</t>
  </si>
  <si>
    <t>Естественная влажность торфа</t>
  </si>
  <si>
    <t>СБЦ т.69 &amp;1</t>
  </si>
  <si>
    <t xml:space="preserve">Зольность торфа на абсолютно- </t>
  </si>
  <si>
    <t>СБЦ т.69 &amp;2</t>
  </si>
  <si>
    <t>сухое вещество</t>
  </si>
  <si>
    <t>Микроскопическое определение</t>
  </si>
  <si>
    <t>СБЦ т.69 &amp;6</t>
  </si>
  <si>
    <t>степени разложения торфа</t>
  </si>
  <si>
    <t>Всего  лабораторных  работ</t>
  </si>
  <si>
    <t xml:space="preserve">     Камеральные работы</t>
  </si>
  <si>
    <t>Камеральная обработка буровых работ</t>
  </si>
  <si>
    <t>СБЦ т.82 &amp;1</t>
  </si>
  <si>
    <t>Камеральная обработка полевых испытаний</t>
  </si>
  <si>
    <t>СБЦ т.83 &amp;4</t>
  </si>
  <si>
    <t>грунтов методом вращательного среза</t>
  </si>
  <si>
    <t>Камеральная обработка испытаний</t>
  </si>
  <si>
    <t>статическим зондированием на глубину:</t>
  </si>
  <si>
    <t xml:space="preserve">         св.10 до 15м</t>
  </si>
  <si>
    <t>СБЦ т.83 &amp;1</t>
  </si>
  <si>
    <t>Камеральная обработка лабораторных</t>
  </si>
  <si>
    <t>СБЦ т.86 &amp;1</t>
  </si>
  <si>
    <t>исследований глинистых грунтов</t>
  </si>
  <si>
    <t>СБЦ т.86 &amp;2</t>
  </si>
  <si>
    <t>исследований песчаных грунтов</t>
  </si>
  <si>
    <t>Камеральная обработка исследований</t>
  </si>
  <si>
    <t>СБЦ т.86 &amp;5</t>
  </si>
  <si>
    <t>химического состава воды</t>
  </si>
  <si>
    <t>Камеральная обработка определений</t>
  </si>
  <si>
    <t>СБЦ т.86 &amp;7</t>
  </si>
  <si>
    <t>Составление программы производ-ва</t>
  </si>
  <si>
    <t>СБЦ т.81 &amp;3</t>
  </si>
  <si>
    <t>к=1.25 пр.1</t>
  </si>
  <si>
    <t>Составление отчета по инженерно-</t>
  </si>
  <si>
    <t>геологическим изысканиям</t>
  </si>
  <si>
    <t xml:space="preserve">   Всего  камеральных  работ</t>
  </si>
  <si>
    <t xml:space="preserve">    Всего  инженерно-геологических  работ</t>
  </si>
  <si>
    <t xml:space="preserve">        Вспомогательные работы</t>
  </si>
  <si>
    <t>Содержание базы партии</t>
  </si>
  <si>
    <t>Расходы по организации и</t>
  </si>
  <si>
    <t>СБЦ п.13</t>
  </si>
  <si>
    <t>ликвидации полевых работ</t>
  </si>
  <si>
    <t>Всего  вспомогательных  работ</t>
  </si>
  <si>
    <t xml:space="preserve">     Всего  инженерно-геологических  работ</t>
  </si>
  <si>
    <t>Районный коэффициент и северная</t>
  </si>
  <si>
    <t>надбавка</t>
  </si>
  <si>
    <t>п.8д-е т.3 &amp;9</t>
  </si>
  <si>
    <t xml:space="preserve">  Итого по смете</t>
  </si>
  <si>
    <t>Индекс инфляции к ценам 1991 г</t>
  </si>
  <si>
    <t xml:space="preserve">         Итого по смете</t>
  </si>
  <si>
    <t>т.8 &amp;4</t>
  </si>
  <si>
    <t>Инженерные изыскания:</t>
  </si>
  <si>
    <t>Итого по Инженерным изысканиям:</t>
  </si>
  <si>
    <t>9,7*1=</t>
  </si>
  <si>
    <t>ед.изм.</t>
  </si>
  <si>
    <t>пункт</t>
  </si>
  <si>
    <t xml:space="preserve">на  разработку проектной документации </t>
  </si>
  <si>
    <t>Кол-во</t>
  </si>
  <si>
    <t>уч-ок</t>
  </si>
  <si>
    <t xml:space="preserve">Подготовка материалов ПСД и ИИ в электронном виде </t>
  </si>
  <si>
    <t>м</t>
  </si>
  <si>
    <t>Исп.</t>
  </si>
  <si>
    <t>Монолит</t>
  </si>
  <si>
    <t>Т. зонд.</t>
  </si>
  <si>
    <t>Проба</t>
  </si>
  <si>
    <t>Иссл.</t>
  </si>
  <si>
    <t>СБЦ т.71 &amp;1</t>
  </si>
  <si>
    <t>Т.зонд.</t>
  </si>
  <si>
    <t>Мес.</t>
  </si>
  <si>
    <t>программа</t>
  </si>
  <si>
    <t>№ сметы / калькуляции</t>
  </si>
  <si>
    <t>Ед. изм.</t>
  </si>
  <si>
    <t>С М Е Т А    №10</t>
  </si>
  <si>
    <t xml:space="preserve">Обследование по маршруту с </t>
  </si>
  <si>
    <t>составлением  инженерно</t>
  </si>
  <si>
    <t xml:space="preserve">экологической </t>
  </si>
  <si>
    <t>Таб.10 &amp;4</t>
  </si>
  <si>
    <t>риала масштаба 1:2000</t>
  </si>
  <si>
    <t>почвенное обследование</t>
  </si>
  <si>
    <t>при плохой</t>
  </si>
  <si>
    <t>Таб.9 &amp;6</t>
  </si>
  <si>
    <t>проходимости</t>
  </si>
  <si>
    <t>Итого по п. 1.1-1.2:</t>
  </si>
  <si>
    <t>кв.км</t>
  </si>
  <si>
    <t>Обследование по маршруту</t>
  </si>
  <si>
    <t>с составлением инженерно-</t>
  </si>
  <si>
    <t xml:space="preserve"> карты фактического</t>
  </si>
  <si>
    <t>Таб.10,  &amp;4</t>
  </si>
  <si>
    <t>материала масштаба 1:2000</t>
  </si>
  <si>
    <t>2.8.</t>
  </si>
  <si>
    <t>2.9.</t>
  </si>
  <si>
    <t>формате "Mapinfo", 5 шт</t>
  </si>
  <si>
    <t>Таб.80,  &amp;9 (применит)</t>
  </si>
  <si>
    <t>*25%=</t>
  </si>
  <si>
    <t>Расходы на регистрацию изыскательских работ и приемка материалов инженерных изысканий</t>
  </si>
  <si>
    <t>3.1</t>
  </si>
  <si>
    <t>Получение технических</t>
  </si>
  <si>
    <t>17,4*1=</t>
  </si>
  <si>
    <t>отчетов для использования</t>
  </si>
  <si>
    <t xml:space="preserve">Таб.99,  &amp;1 </t>
  </si>
  <si>
    <t>3.2</t>
  </si>
  <si>
    <t>Получение справок в</t>
  </si>
  <si>
    <t>государственных органах</t>
  </si>
  <si>
    <t>Таб.99,  &amp;3</t>
  </si>
  <si>
    <t>ИТОГО по разделу 3:</t>
  </si>
  <si>
    <t>ИТОГО по разделам 1-3:</t>
  </si>
  <si>
    <t>к разделам 1-3</t>
  </si>
  <si>
    <t>СБЦ   т.13 &amp;4</t>
  </si>
  <si>
    <t>1 катег. породы, глубина скв. до 10м</t>
  </si>
  <si>
    <t>2 катег. породы, глубина скв. до 10м</t>
  </si>
  <si>
    <t>СБЦ   т.13 &amp;2</t>
  </si>
  <si>
    <t>исп.</t>
  </si>
  <si>
    <t>СБЦ  т.57 &amp;2</t>
  </si>
  <si>
    <t>Испытание грунтов в буровых скважинах</t>
  </si>
  <si>
    <t xml:space="preserve">на глубине до 10 м вертикальной </t>
  </si>
  <si>
    <t xml:space="preserve"> статической нагрузкой штампом</t>
  </si>
  <si>
    <r>
      <t>площадью 600 см</t>
    </r>
    <r>
      <rPr>
        <vertAlign val="superscript"/>
        <sz val="14"/>
        <rFont val="Arial Cyr"/>
        <family val="2"/>
        <charset val="204"/>
      </rPr>
      <t>2</t>
    </r>
    <r>
      <rPr>
        <sz val="14"/>
        <rFont val="Arial Cyr"/>
        <family val="2"/>
        <charset val="204"/>
      </rPr>
      <t xml:space="preserve"> удельным </t>
    </r>
  </si>
  <si>
    <t xml:space="preserve">механических свойств грунта </t>
  </si>
  <si>
    <t>Приготовление водной вытяжки</t>
  </si>
  <si>
    <t>СБЦ т.70 &amp;83</t>
  </si>
  <si>
    <t>Анализ водной вытяжки</t>
  </si>
  <si>
    <t>СБЦ  к=1.6</t>
  </si>
  <si>
    <t>№№ частей, глав, таблиц,</t>
  </si>
  <si>
    <t>Таб.2 п.4.</t>
  </si>
  <si>
    <t>Рабочая документация.</t>
  </si>
  <si>
    <t xml:space="preserve">01.01.2001г. </t>
  </si>
  <si>
    <t>Таб.2 п.10</t>
  </si>
  <si>
    <t>1.7.</t>
  </si>
  <si>
    <t>Разработка и утверждение</t>
  </si>
  <si>
    <t>Справ.базов. цен 2010г.</t>
  </si>
  <si>
    <t xml:space="preserve">градостроительного плана </t>
  </si>
  <si>
    <t xml:space="preserve">Территориальное </t>
  </si>
  <si>
    <t xml:space="preserve">планирование и планировка </t>
  </si>
  <si>
    <t>1 участок</t>
  </si>
  <si>
    <t>территорий</t>
  </si>
  <si>
    <t xml:space="preserve">К-1,1 Таб.8 п.3  </t>
  </si>
  <si>
    <t xml:space="preserve">наличие м/р полезных </t>
  </si>
  <si>
    <t>ископаемых пром.назнач.</t>
  </si>
  <si>
    <t>и далее во всех п.п.</t>
  </si>
  <si>
    <t>К-30% письмо Мин.экон.</t>
  </si>
  <si>
    <t>развития от 20.07.2011 №19268-АП/08</t>
  </si>
  <si>
    <t>К-20% архитектурно-</t>
  </si>
  <si>
    <t>планиров.часть, п.3 таб.9</t>
  </si>
  <si>
    <t>К-1,43 районный  далее во</t>
  </si>
  <si>
    <t>во всех пп.</t>
  </si>
  <si>
    <t xml:space="preserve">на 01.01.2001г.  </t>
  </si>
  <si>
    <t>Инженерная подготовка</t>
  </si>
  <si>
    <t xml:space="preserve">под кустовую площадку </t>
  </si>
  <si>
    <t xml:space="preserve">(приравнивается </t>
  </si>
  <si>
    <t xml:space="preserve">Отбор проб воды для </t>
  </si>
  <si>
    <t>Таб.60, &amp;2</t>
  </si>
  <si>
    <t>7,6*2=</t>
  </si>
  <si>
    <t>Предполевое</t>
  </si>
  <si>
    <t>дешифрирование</t>
  </si>
  <si>
    <t>Таб.80,  &amp;9</t>
  </si>
  <si>
    <t>Автоматические установки</t>
  </si>
  <si>
    <t>объект</t>
  </si>
  <si>
    <t>Справ.базов. цен 99г.</t>
  </si>
  <si>
    <t>пожарной сигнализации</t>
  </si>
  <si>
    <t xml:space="preserve">Системы противопож.и </t>
  </si>
  <si>
    <t>охранной защиты</t>
  </si>
  <si>
    <t>Таб. 3 п.1</t>
  </si>
  <si>
    <t>опред. базовой цены</t>
  </si>
  <si>
    <t>Охранная сигнализация</t>
  </si>
  <si>
    <t>Таб. 5 п.1</t>
  </si>
  <si>
    <t>Оповещение I типа</t>
  </si>
  <si>
    <t>Таб. 4 п.1</t>
  </si>
  <si>
    <t>Разработка проектной документации</t>
  </si>
  <si>
    <t>Разработка рабочей документации</t>
  </si>
  <si>
    <t>Мероприятия по охране окружающей среды</t>
  </si>
  <si>
    <t>Табл.82, &amp;3</t>
  </si>
  <si>
    <t>- св.5 до 10 воздействий</t>
  </si>
  <si>
    <t>83.22*0,360</t>
  </si>
  <si>
    <t xml:space="preserve">Стоимость разработки проектной документации с учетом коэффициента удорожания к базовым ценам Куд=14,2 х1,43 </t>
  </si>
  <si>
    <t xml:space="preserve">Стоимость разработки рабочей документации с учетом коэффициента удорожания к базовым ценам Куд=14,2 х1,43 </t>
  </si>
  <si>
    <t>СБЦ т.70 &amp;11</t>
  </si>
  <si>
    <t>Материалы к акту выбора</t>
  </si>
  <si>
    <t>согл.</t>
  </si>
  <si>
    <t>Ка=1,1 п.5 примеч.:</t>
  </si>
  <si>
    <t>1+0,05*(3-1)</t>
  </si>
  <si>
    <t>Ка=0,1135 п.2 примеч.:</t>
  </si>
  <si>
    <t>Таб.3 п.6.</t>
  </si>
  <si>
    <t>РАСЧЕТ №1</t>
  </si>
  <si>
    <t xml:space="preserve">Сопровождение ПД на согласование в инспектирующие организации (Главгосударственная экспертиза) </t>
  </si>
  <si>
    <t>Установка дозирования химреагентов, УДХ-2Б-2,5,  
1 шт.</t>
  </si>
  <si>
    <t xml:space="preserve">химреагентов, УДХ-2Б,  </t>
  </si>
  <si>
    <t>блочной поставки, 1 шт.</t>
  </si>
  <si>
    <t>к а/дороге IV кат.) L=2,76км</t>
  </si>
  <si>
    <t>(58,42+58,42*2,76)*0,4*1,15*</t>
  </si>
  <si>
    <t>К-0,33 относит ст-ть Практ. Пособие (принц.реш;сд- 33%)</t>
  </si>
  <si>
    <t>К-0,43 относит ст-ть Практ. Пособие (принц.реш;сд- 43%)</t>
  </si>
  <si>
    <t>(58,42+58,42*2,76)*0,6*1,15*</t>
  </si>
  <si>
    <t>Ед.</t>
  </si>
  <si>
    <t>изм.</t>
  </si>
  <si>
    <t>Кол-</t>
  </si>
  <si>
    <t>во</t>
  </si>
  <si>
    <t>СБЦ т.87 &amp;2</t>
  </si>
  <si>
    <t>Изыскания (геодезия).</t>
  </si>
  <si>
    <t xml:space="preserve">Изыскания (геология). </t>
  </si>
  <si>
    <t xml:space="preserve">Изыскания (гидрометеорология). </t>
  </si>
  <si>
    <t xml:space="preserve">Инженерно-экологические изыскания. </t>
  </si>
  <si>
    <t xml:space="preserve">Разработка проектной документации технического обеспечения АСУ ТП. </t>
  </si>
  <si>
    <t xml:space="preserve">Разработка раздела «Анализ опасности и риска проектируемого объекта». </t>
  </si>
  <si>
    <t xml:space="preserve">Разработка раздела «Инженерно-технические мероприятия ГО и ЧС». </t>
  </si>
  <si>
    <t xml:space="preserve">Подготовка материалов к акту выбора земель. </t>
  </si>
  <si>
    <t>Разработка проектной документации технического обеспечения АСУ ТП.</t>
  </si>
  <si>
    <t xml:space="preserve">Подготовка материалов градостроительного плана. </t>
  </si>
  <si>
    <t>продукции скважин</t>
  </si>
  <si>
    <t xml:space="preserve">п.2,9,10 по таб.2
</t>
  </si>
  <si>
    <t>Н.А. Глебова</t>
  </si>
  <si>
    <t>км.</t>
  </si>
  <si>
    <t>Начальник отдела ОПИР</t>
  </si>
  <si>
    <t>Инженер II категории ОЦиПТД по КСиРО</t>
  </si>
  <si>
    <t>Д.Ю. Семененко</t>
  </si>
  <si>
    <t xml:space="preserve"> км</t>
  </si>
  <si>
    <t>куст скважин</t>
  </si>
  <si>
    <t xml:space="preserve">ВЛ-6кВ № 1 на куст </t>
  </si>
  <si>
    <t xml:space="preserve">ВЛ-6кВ № 2 на куст </t>
  </si>
  <si>
    <t xml:space="preserve">на разработку проектной и рабочей документации технического обеспечения АСУТП.
</t>
  </si>
  <si>
    <t>- св.50 до 100 переменных</t>
  </si>
  <si>
    <t xml:space="preserve">на  разработку раздела «Анализ опасности и риска проектируемого объекта». </t>
  </si>
  <si>
    <t xml:space="preserve">на  разработку раздела «Инженерно-технические мероприятия ГО и ЧС». 
</t>
  </si>
  <si>
    <t xml:space="preserve">на  подготовку материалов к акту выбора земель. </t>
  </si>
  <si>
    <t xml:space="preserve">на подготовку материалов градостроительного плана. </t>
  </si>
  <si>
    <t>11.</t>
  </si>
  <si>
    <t>Смета №7</t>
  </si>
  <si>
    <t>Смета №8</t>
  </si>
  <si>
    <t>Кальк.№2</t>
  </si>
  <si>
    <t>С М Е Т А    №7</t>
  </si>
  <si>
    <t>С М Е Т А    №8</t>
  </si>
  <si>
    <t>КАЛЬКУЛЯЦИЯ №2</t>
  </si>
  <si>
    <t>12.</t>
  </si>
  <si>
    <t>13.</t>
  </si>
  <si>
    <t>14.</t>
  </si>
  <si>
    <t>1,0-0,9*(1-0,015)</t>
  </si>
  <si>
    <t>(2416*1,3*0,1135*1,1+</t>
  </si>
  <si>
    <t>Инженер I категории отдела ОПИР</t>
  </si>
  <si>
    <t>+5593*1,3*0,015)*2,116*14,2</t>
  </si>
  <si>
    <t>Смета №1</t>
  </si>
  <si>
    <t>на инженерно-геодезические изыскания</t>
  </si>
  <si>
    <t>т.8 &amp;3, k=1.3 т.8 прим.2</t>
  </si>
  <si>
    <t>Создание высотной опорной сети 4 класса</t>
  </si>
  <si>
    <t>Изыскания новых автомобильных дорог</t>
  </si>
  <si>
    <t>IV технической категории ,</t>
  </si>
  <si>
    <t>II категория сложности:</t>
  </si>
  <si>
    <t xml:space="preserve">Изыскания трасс магистральных трубопроводов, </t>
  </si>
  <si>
    <t>а) камеральные работы</t>
  </si>
  <si>
    <t>Изыскания трасс воздушных линий электропередачи</t>
  </si>
  <si>
    <t>6кВ №1</t>
  </si>
  <si>
    <t>6кВ №2</t>
  </si>
  <si>
    <t>Создание инженерно-топографических планов,</t>
  </si>
  <si>
    <t xml:space="preserve">(сплошная топографическая съемка полосы </t>
  </si>
  <si>
    <t xml:space="preserve">высота сечения рельефа 1 м в М1:2000, </t>
  </si>
  <si>
    <t xml:space="preserve">II категория сложности, </t>
  </si>
  <si>
    <t>незастроенная территория:</t>
  </si>
  <si>
    <t xml:space="preserve">высота сечения рельефа 0.5м в М 1:500, </t>
  </si>
  <si>
    <t>т.9 &amp; 5, k=1.2 т.9 прим.4</t>
  </si>
  <si>
    <t xml:space="preserve">планов в М 1:2000, М 1:500, </t>
  </si>
  <si>
    <t xml:space="preserve">т.9 &amp; 5, k=1.3 Ч.I, гл.2, ОП,п.7 </t>
  </si>
  <si>
    <t>С М Е Т А    № 4</t>
  </si>
  <si>
    <t xml:space="preserve">на  инженерно-экологические изыскания. </t>
  </si>
  <si>
    <t xml:space="preserve">Отбор точечных проб для анализа на загрязненность по хим.показателям на токсичность </t>
  </si>
  <si>
    <t>4 шт.</t>
  </si>
  <si>
    <t xml:space="preserve">анализа </t>
  </si>
  <si>
    <t>Отбор проб донных</t>
  </si>
  <si>
    <t>отложений</t>
  </si>
  <si>
    <t>Таб.60, &amp;5</t>
  </si>
  <si>
    <t xml:space="preserve">Стоимость по разделу с </t>
  </si>
  <si>
    <t>учетом выполненных поле-</t>
  </si>
  <si>
    <t xml:space="preserve">вых работ в неблагоприятный </t>
  </si>
  <si>
    <t>период года</t>
  </si>
  <si>
    <t>к п.п. 1.1 - 1.7.</t>
  </si>
  <si>
    <t>3,4*0,4=</t>
  </si>
  <si>
    <t>13,3*12*1,15*1,3=</t>
  </si>
  <si>
    <t>12 точек</t>
  </si>
  <si>
    <t>изменения природной среды)</t>
  </si>
  <si>
    <t>К-25% от ст-сти пп.2.1-2.7</t>
  </si>
  <si>
    <t>50,7*5=</t>
  </si>
  <si>
    <t>33,6*2,7=</t>
  </si>
  <si>
    <t>8,49*2,7*1,25=</t>
  </si>
  <si>
    <t>0,522*1,3=</t>
  </si>
  <si>
    <t>0,679*1,6=</t>
  </si>
  <si>
    <t>5,02*26,8=</t>
  </si>
  <si>
    <t>2,41*2,7*1,25=</t>
  </si>
  <si>
    <t>5,02*26,8*5=</t>
  </si>
  <si>
    <t>3,109*1,6=</t>
  </si>
  <si>
    <t xml:space="preserve">        на инженерно-геологические изыскания</t>
  </si>
  <si>
    <t>СБЦ т.54 &amp;16</t>
  </si>
  <si>
    <t>давлением до 0,3 Мпа III кат. сложности</t>
  </si>
  <si>
    <t>физических свойств торфа</t>
  </si>
  <si>
    <t>СБЦ т.101 &amp;5</t>
  </si>
  <si>
    <t xml:space="preserve"> СМЕТА  N 2</t>
  </si>
  <si>
    <t>Смета №2</t>
  </si>
  <si>
    <t>Смета №3</t>
  </si>
  <si>
    <t>Смета №4</t>
  </si>
  <si>
    <t>Итого по п.п. 2-10:</t>
  </si>
  <si>
    <t>Приложение</t>
  </si>
  <si>
    <t>к договору №980-14</t>
  </si>
  <si>
    <t>Договор №980-14</t>
  </si>
  <si>
    <t>2,314*1,25*1,1*</t>
  </si>
  <si>
    <t>Таб.2 п.4.4</t>
  </si>
  <si>
    <t>СВОДНАЯ СМЕТА</t>
  </si>
  <si>
    <t>19,5% от ст-ти пп.2</t>
  </si>
  <si>
    <t>п.2 *0,195=</t>
  </si>
  <si>
    <t>Расчет №1 п.2</t>
  </si>
  <si>
    <t>Расчет №1 п.3</t>
  </si>
  <si>
    <t xml:space="preserve">М 1:2000 </t>
  </si>
  <si>
    <t>М 1:500</t>
  </si>
  <si>
    <t>т.8 &amp;3,</t>
  </si>
  <si>
    <t xml:space="preserve">т.8 &amp;4, </t>
  </si>
  <si>
    <r>
      <rPr>
        <b/>
        <i/>
        <sz val="9"/>
        <rFont val="Arial"/>
        <family val="2"/>
        <charset val="204"/>
      </rPr>
      <t>k=0.7</t>
    </r>
    <r>
      <rPr>
        <i/>
        <sz val="9"/>
        <rFont val="Arial"/>
        <family val="2"/>
      </rPr>
      <t xml:space="preserve">  т.8 прим.1, (производство измерений без закладки центров и реперов)</t>
    </r>
  </si>
  <si>
    <r>
      <rPr>
        <b/>
        <i/>
        <sz val="9"/>
        <rFont val="Arial"/>
        <family val="2"/>
        <charset val="204"/>
      </rPr>
      <t xml:space="preserve">k=0.4 </t>
    </r>
    <r>
      <rPr>
        <i/>
        <sz val="9"/>
        <rFont val="Arial"/>
        <family val="2"/>
        <charset val="204"/>
      </rPr>
      <t>т.8 прим.1,(производство измерений без закладки центров и реперов)</t>
    </r>
  </si>
  <si>
    <r>
      <t xml:space="preserve">т.12 &amp;2, </t>
    </r>
    <r>
      <rPr>
        <b/>
        <i/>
        <sz val="9"/>
        <rFont val="Arial"/>
        <family val="2"/>
        <charset val="204"/>
      </rPr>
      <t xml:space="preserve">k=1.2  </t>
    </r>
    <r>
      <rPr>
        <i/>
        <sz val="9"/>
        <rFont val="Arial"/>
        <family val="2"/>
        <charset val="204"/>
      </rPr>
      <t>ОУ, п.15 (д) (выполнение камеральныхи картографических работ с применением компьютерных технологий)</t>
    </r>
  </si>
  <si>
    <r>
      <t xml:space="preserve">т.15 &amp;1,  </t>
    </r>
    <r>
      <rPr>
        <b/>
        <i/>
        <sz val="9"/>
        <rFont val="Arial"/>
        <family val="2"/>
        <charset val="204"/>
      </rPr>
      <t xml:space="preserve">k=0.4 </t>
    </r>
    <r>
      <rPr>
        <i/>
        <sz val="9"/>
        <rFont val="Arial"/>
        <family val="2"/>
        <charset val="204"/>
      </rPr>
      <t>т.15 прим. (одновременные изыскания нескольких параллельных линий электропередачи и связи)</t>
    </r>
  </si>
  <si>
    <t>местности)</t>
  </si>
  <si>
    <r>
      <t xml:space="preserve">т.9 &amp;20, </t>
    </r>
    <r>
      <rPr>
        <b/>
        <i/>
        <sz val="9"/>
        <rFont val="Arial"/>
        <family val="2"/>
        <charset val="204"/>
      </rPr>
      <t xml:space="preserve">k=0.7  </t>
    </r>
    <r>
      <rPr>
        <i/>
        <sz val="9"/>
        <rFont val="Arial"/>
        <family val="2"/>
        <charset val="204"/>
      </rPr>
      <t>Ч.I, гл.3,ОП,п.8, (выполнение сплошной топографической съемки масштаба 1:500-1:2000 полосы местности вдоль трассы)</t>
    </r>
  </si>
  <si>
    <t>т.9 прим.4 Съемка подземных коммуникаций с помощью приборов поиска(трубокабелеискателя) и составление плана подземных коммуникаций:</t>
  </si>
  <si>
    <r>
      <rPr>
        <b/>
        <i/>
        <sz val="9"/>
        <rFont val="Arial"/>
        <family val="2"/>
        <charset val="204"/>
      </rPr>
      <t>k=1.2 (</t>
    </r>
    <r>
      <rPr>
        <i/>
        <sz val="9"/>
        <rFont val="Arial"/>
        <family val="2"/>
        <charset val="204"/>
      </rPr>
      <t>на незастроенных терр.)</t>
    </r>
  </si>
  <si>
    <r>
      <rPr>
        <b/>
        <i/>
        <sz val="9"/>
        <rFont val="Arial"/>
        <family val="2"/>
        <charset val="204"/>
      </rPr>
      <t>k=1.55 (</t>
    </r>
    <r>
      <rPr>
        <i/>
        <sz val="9"/>
        <rFont val="Arial"/>
        <family val="2"/>
        <charset val="204"/>
      </rPr>
      <t>на застроенных терр.)</t>
    </r>
  </si>
  <si>
    <r>
      <rPr>
        <b/>
        <i/>
        <sz val="9"/>
        <rFont val="Arial"/>
        <family val="2"/>
        <charset val="204"/>
      </rPr>
      <t xml:space="preserve">k=1.75 </t>
    </r>
    <r>
      <rPr>
        <i/>
        <sz val="9"/>
        <rFont val="Arial"/>
        <family val="2"/>
        <charset val="204"/>
      </rPr>
      <t>(на территориях действующих промышленных предприятиях))</t>
    </r>
  </si>
  <si>
    <r>
      <t xml:space="preserve">т.9 &amp;20, </t>
    </r>
    <r>
      <rPr>
        <b/>
        <i/>
        <sz val="9"/>
        <rFont val="Arial"/>
        <family val="2"/>
        <charset val="204"/>
      </rPr>
      <t xml:space="preserve">k=1.75 </t>
    </r>
    <r>
      <rPr>
        <i/>
        <sz val="9"/>
        <rFont val="Arial"/>
        <family val="2"/>
        <charset val="204"/>
      </rPr>
      <t>ОУ, п.15 (е) (выполнение картографических работ с составлением планов(продольны профилей) в двух видах: на магнитном и бумажном носителях)</t>
    </r>
  </si>
  <si>
    <r>
      <t xml:space="preserve">т.9 &amp;20, </t>
    </r>
    <r>
      <rPr>
        <b/>
        <i/>
        <sz val="9"/>
        <rFont val="Arial"/>
        <family val="2"/>
        <charset val="204"/>
      </rPr>
      <t xml:space="preserve">k=1.3 </t>
    </r>
    <r>
      <rPr>
        <i/>
        <sz val="9"/>
        <rFont val="Arial"/>
        <family val="2"/>
        <charset val="204"/>
      </rPr>
      <t>Ч.I, гл.2, ОП,п.7 (составление инженерно-топографических планов по существующим материалам без выполнения полевых работ)</t>
    </r>
  </si>
  <si>
    <t>мес</t>
  </si>
  <si>
    <r>
      <rPr>
        <b/>
        <sz val="12"/>
        <rFont val="Arial Cyr"/>
        <charset val="204"/>
      </rPr>
      <t>к=0,9</t>
    </r>
    <r>
      <rPr>
        <sz val="12"/>
        <rFont val="Arial Cyr"/>
        <family val="2"/>
        <charset val="204"/>
      </rPr>
      <t xml:space="preserve"> (бурение самоходными и передвижными установками без устройства циркуляционной системы)</t>
    </r>
  </si>
  <si>
    <t>отчет</t>
  </si>
  <si>
    <t xml:space="preserve">Категория сложности инженерно-экологической рекогносцировки: </t>
  </si>
  <si>
    <r>
      <rPr>
        <b/>
        <sz val="8"/>
        <rFont val="Times New Roman"/>
        <family val="1"/>
        <charset val="204"/>
      </rPr>
      <t>К-1,1</t>
    </r>
    <r>
      <rPr>
        <sz val="8"/>
        <rFont val="Times New Roman"/>
        <family val="1"/>
      </rPr>
      <t>-2 категория сложн.</t>
    </r>
  </si>
  <si>
    <t>6,9*2=</t>
  </si>
  <si>
    <t>6,1*2=</t>
  </si>
  <si>
    <t>К-1,4 Таб.2, &amp;4 (неблагопр. период)</t>
  </si>
  <si>
    <t>Категория сложности района:</t>
  </si>
  <si>
    <r>
      <rPr>
        <b/>
        <sz val="8"/>
        <rFont val="Times New Roman"/>
        <family val="1"/>
        <charset val="204"/>
      </rPr>
      <t>К-1,25</t>
    </r>
    <r>
      <rPr>
        <sz val="8"/>
        <rFont val="Times New Roman"/>
        <family val="1"/>
        <charset val="204"/>
      </rPr>
      <t>- 2 категория сложности района</t>
    </r>
  </si>
  <si>
    <r>
      <rPr>
        <b/>
        <sz val="8"/>
        <rFont val="Times New Roman"/>
        <family val="1"/>
        <charset val="204"/>
      </rPr>
      <t>К-1,4</t>
    </r>
    <r>
      <rPr>
        <sz val="8"/>
        <rFont val="Times New Roman"/>
        <family val="1"/>
        <charset val="204"/>
      </rPr>
      <t>- 3 категория сложности района</t>
    </r>
  </si>
  <si>
    <r>
      <rPr>
        <b/>
        <sz val="8"/>
        <rFont val="Times New Roman"/>
        <family val="1"/>
        <charset val="204"/>
      </rPr>
      <t xml:space="preserve">К-1,25 </t>
    </r>
    <r>
      <rPr>
        <sz val="8"/>
        <rFont val="Times New Roman"/>
        <family val="1"/>
      </rPr>
      <t>-3 категория сложн.</t>
    </r>
  </si>
  <si>
    <r>
      <rPr>
        <b/>
        <sz val="8"/>
        <rFont val="Times New Roman"/>
        <family val="1"/>
        <charset val="204"/>
      </rPr>
      <t>К-1,15</t>
    </r>
    <r>
      <rPr>
        <sz val="8"/>
        <rFont val="Times New Roman"/>
        <family val="1"/>
      </rPr>
      <t xml:space="preserve"> п.3 примечания(на застроенную территорию, участки свалок,насыпных грунтов)</t>
    </r>
  </si>
  <si>
    <r>
      <rPr>
        <b/>
        <sz val="8"/>
        <rFont val="Times New Roman"/>
        <family val="1"/>
        <charset val="204"/>
      </rPr>
      <t>К-1,3</t>
    </r>
    <r>
      <rPr>
        <sz val="8"/>
        <rFont val="Times New Roman"/>
        <family val="1"/>
      </rPr>
      <t xml:space="preserve"> п.1 примечания (комплексные карты и карта с нанесением данных радиометрических наблюдений)</t>
    </r>
  </si>
  <si>
    <r>
      <rPr>
        <b/>
        <sz val="8"/>
        <rFont val="Times New Roman"/>
        <family val="1"/>
        <charset val="204"/>
      </rPr>
      <t xml:space="preserve">К-1,3 </t>
    </r>
    <r>
      <rPr>
        <sz val="8"/>
        <rFont val="Times New Roman"/>
        <family val="1"/>
      </rPr>
      <t>п.1 примечания (гидрогеологическая карта для целей водоснабжения с установлением зон санитарной охраны)</t>
    </r>
  </si>
  <si>
    <r>
      <rPr>
        <b/>
        <sz val="8"/>
        <rFont val="Times New Roman"/>
        <family val="1"/>
        <charset val="204"/>
      </rPr>
      <t xml:space="preserve">К-0,4 </t>
    </r>
    <r>
      <rPr>
        <sz val="8"/>
        <rFont val="Times New Roman"/>
        <family val="1"/>
      </rPr>
      <t>п.1 примечания (почвенная карта)</t>
    </r>
  </si>
  <si>
    <r>
      <rPr>
        <b/>
        <sz val="8"/>
        <rFont val="Times New Roman"/>
        <family val="1"/>
        <charset val="204"/>
      </rPr>
      <t>К-1,5</t>
    </r>
    <r>
      <rPr>
        <sz val="8"/>
        <rFont val="Times New Roman"/>
        <family val="1"/>
      </rPr>
      <t xml:space="preserve"> п.2 примечания (район развития многолетних мерзлых пород)</t>
    </r>
  </si>
  <si>
    <r>
      <rPr>
        <b/>
        <sz val="8"/>
        <rFont val="Times New Roman"/>
        <family val="1"/>
        <charset val="204"/>
      </rPr>
      <t xml:space="preserve">К-1,1 </t>
    </r>
    <r>
      <rPr>
        <sz val="8"/>
        <rFont val="Times New Roman"/>
        <family val="1"/>
      </rPr>
      <t>п.2 примечания (использование топографо-геодезических материалов ограниченного пользования)</t>
    </r>
  </si>
  <si>
    <r>
      <rPr>
        <b/>
        <sz val="8"/>
        <rFont val="Times New Roman"/>
        <family val="1"/>
        <charset val="204"/>
      </rPr>
      <t>К-1,25</t>
    </r>
    <r>
      <rPr>
        <sz val="8"/>
        <rFont val="Times New Roman"/>
        <family val="1"/>
      </rPr>
      <t xml:space="preserve"> п.3. примечания (составление отчета по данным мониторинга)</t>
    </r>
  </si>
  <si>
    <t>Блок гребенки</t>
  </si>
  <si>
    <t>Таб.4 п.3</t>
  </si>
  <si>
    <t>(24,214*1)*0,4*1,15*</t>
  </si>
  <si>
    <t>диаметром до 300мм</t>
  </si>
  <si>
    <r>
      <rPr>
        <b/>
        <sz val="8"/>
        <rFont val="Times New Roman"/>
        <family val="1"/>
        <charset val="204"/>
      </rPr>
      <t xml:space="preserve">К-1,1 </t>
    </r>
    <r>
      <rPr>
        <sz val="8"/>
        <rFont val="Times New Roman"/>
        <family val="1"/>
      </rPr>
      <t>п.1.17. СБЦ (теплоизоляция)</t>
    </r>
  </si>
  <si>
    <t xml:space="preserve">Автодорога  </t>
  </si>
  <si>
    <t>,  2,76га</t>
  </si>
  <si>
    <t>п.1,2,4,5,9,10 по таб.2</t>
  </si>
  <si>
    <t>10. 11% - сметная документация</t>
  </si>
  <si>
    <t>S=св.1000 до 2000 м2</t>
  </si>
  <si>
    <r>
      <rPr>
        <b/>
        <sz val="8"/>
        <rFont val="Times New Roman"/>
        <family val="1"/>
        <charset val="204"/>
      </rPr>
      <t xml:space="preserve">К-1,15 </t>
    </r>
    <r>
      <rPr>
        <sz val="8"/>
        <rFont val="Times New Roman"/>
        <family val="1"/>
      </rPr>
      <t>п.4 примечания (для объектов, требующих оповещения по выделенным зонам эвакуации)</t>
    </r>
  </si>
  <si>
    <r>
      <rPr>
        <b/>
        <sz val="8"/>
        <rFont val="Times New Roman"/>
        <family val="1"/>
        <charset val="204"/>
      </rPr>
      <t>К-1,2</t>
    </r>
    <r>
      <rPr>
        <sz val="8"/>
        <rFont val="Times New Roman"/>
        <family val="1"/>
      </rPr>
      <t xml:space="preserve"> п.2.2. (наличие технологических установок, расположенных вне здания)</t>
    </r>
  </si>
  <si>
    <r>
      <rPr>
        <b/>
        <sz val="8"/>
        <rFont val="Times New Roman"/>
        <family val="1"/>
        <charset val="204"/>
      </rPr>
      <t>К-0,33</t>
    </r>
    <r>
      <rPr>
        <sz val="8"/>
        <rFont val="Times New Roman"/>
        <family val="1"/>
      </rPr>
      <t xml:space="preserve"> относит ст-ть Практ. Пособие (принц.реш;сд- 33%)</t>
    </r>
  </si>
  <si>
    <r>
      <rPr>
        <b/>
        <sz val="8"/>
        <rFont val="Times New Roman"/>
        <family val="1"/>
        <charset val="204"/>
      </rPr>
      <t>К-1,2</t>
    </r>
    <r>
      <rPr>
        <sz val="8"/>
        <rFont val="Times New Roman"/>
        <family val="1"/>
      </rPr>
      <t xml:space="preserve"> п.2.2. Порядок </t>
    </r>
  </si>
  <si>
    <t>2,304*0,4*1,15*1,2*1,43*</t>
  </si>
  <si>
    <t xml:space="preserve">9. 18% - проект организации строительства </t>
  </si>
  <si>
    <t>2. 32% - земляное полотно</t>
  </si>
  <si>
    <r>
      <t>К-</t>
    </r>
    <r>
      <rPr>
        <b/>
        <sz val="8"/>
        <rFont val="Times New Roman"/>
        <family val="1"/>
        <charset val="204"/>
      </rPr>
      <t xml:space="preserve">0,61 </t>
    </r>
    <r>
      <rPr>
        <sz val="8"/>
        <rFont val="Times New Roman"/>
        <family val="1"/>
      </rPr>
      <t>относит.ст-ть</t>
    </r>
  </si>
  <si>
    <t>Кис=1,3 таб.1(количество источников ЧС - 8)</t>
  </si>
  <si>
    <t>Ксл=1,3 таб.2 (Категория сложности проектирования -3)</t>
  </si>
  <si>
    <t>(механ.поврежд.т-да; негерме-тичность арматуры на узлах;</t>
  </si>
  <si>
    <t>зионный износ тр-да; нарушение регламента ведения тенхнолог.процесса добычи и транспорта</t>
  </si>
  <si>
    <t>Кпф=0,9 таб.4  (Количество источников ЧС с одинаковыми поражающими факторами-2)</t>
  </si>
  <si>
    <r>
      <rPr>
        <b/>
        <sz val="12"/>
        <rFont val="Times New Roman"/>
        <family val="1"/>
        <charset val="204"/>
      </rPr>
      <t xml:space="preserve">природ.=2 шт.   </t>
    </r>
    <r>
      <rPr>
        <b/>
        <sz val="10"/>
        <rFont val="Times New Roman"/>
        <family val="1"/>
        <charset val="204"/>
      </rPr>
      <t xml:space="preserve">    </t>
    </r>
    <r>
      <rPr>
        <i/>
        <sz val="10"/>
        <rFont val="Times New Roman"/>
        <family val="1"/>
        <charset val="204"/>
      </rPr>
      <t xml:space="preserve">         (опасные гидролог.процессы:    опасные метеорол.процессы:</t>
    </r>
  </si>
  <si>
    <t>Объем работ проверил:</t>
  </si>
  <si>
    <t>Расценки проверил:</t>
  </si>
  <si>
    <t xml:space="preserve">Объем работ проверил: </t>
  </si>
  <si>
    <t>С М Е Т А    №5</t>
  </si>
  <si>
    <t>Смета №6</t>
  </si>
  <si>
    <t>Смета №10</t>
  </si>
  <si>
    <t>Разработка раздела "Пожарная безопасность"</t>
  </si>
  <si>
    <t>Разработка раздела:</t>
  </si>
  <si>
    <t>"Пожарная безопасность"</t>
  </si>
  <si>
    <r>
      <t xml:space="preserve">т.12 &amp;3, </t>
    </r>
    <r>
      <rPr>
        <b/>
        <i/>
        <sz val="9"/>
        <rFont val="Arial"/>
        <family val="2"/>
        <charset val="204"/>
      </rPr>
      <t xml:space="preserve">k=0.4 </t>
    </r>
    <r>
      <rPr>
        <i/>
        <sz val="9"/>
        <rFont val="Arial"/>
        <family val="2"/>
        <charset val="204"/>
      </rPr>
      <t>т.15 прим. (одновременные изыскания нескольких параллельных линий)</t>
    </r>
  </si>
  <si>
    <t>Высоконапорный</t>
  </si>
  <si>
    <t>1 км</t>
  </si>
  <si>
    <t xml:space="preserve">водовод </t>
  </si>
  <si>
    <t>Таб.4 п.4</t>
  </si>
  <si>
    <t>К-1,1 п.1.17. СБЦ</t>
  </si>
  <si>
    <t>К-0,962 относит.ст-ть</t>
  </si>
  <si>
    <t>пп.4.1, 4.2 к таб.5.4</t>
  </si>
  <si>
    <t>К-0,6 РД и далее по пп.</t>
  </si>
  <si>
    <t>К-1,3 п.3.7. Метод.указан.</t>
  </si>
  <si>
    <t>(24,214*1)*0,6*1,3*</t>
  </si>
  <si>
    <t>2. 43% - земляное полотно</t>
  </si>
  <si>
    <t xml:space="preserve">9. 0% - проект организации строительства </t>
  </si>
  <si>
    <t>10. 8% - сметная документация</t>
  </si>
  <si>
    <r>
      <t>К-</t>
    </r>
    <r>
      <rPr>
        <b/>
        <sz val="8"/>
        <rFont val="Times New Roman"/>
        <family val="1"/>
        <charset val="204"/>
      </rPr>
      <t xml:space="preserve">0,51 </t>
    </r>
    <r>
      <rPr>
        <sz val="8"/>
        <rFont val="Times New Roman"/>
        <family val="1"/>
      </rPr>
      <t>относит.ст-ть</t>
    </r>
  </si>
  <si>
    <t>1+1+2+2+3+3+2=</t>
  </si>
  <si>
    <r>
      <t>площадью 8</t>
    </r>
    <r>
      <rPr>
        <sz val="11"/>
        <rFont val="Times New Roman"/>
        <family val="1"/>
        <charset val="204"/>
      </rPr>
      <t xml:space="preserve"> га</t>
    </r>
  </si>
  <si>
    <t>(276,53+145,51*8)*1,1*</t>
  </si>
  <si>
    <r>
      <rPr>
        <b/>
        <i/>
        <sz val="9"/>
        <rFont val="Arial"/>
        <family val="2"/>
        <charset val="204"/>
      </rPr>
      <t xml:space="preserve">k=1.3 </t>
    </r>
    <r>
      <rPr>
        <i/>
        <sz val="9"/>
        <rFont val="Arial"/>
        <family val="2"/>
      </rPr>
      <t>т.8 прим.2(определение координат пунктов опорных геодезических сетей с использованием спутниковых геодезических систем)</t>
    </r>
  </si>
  <si>
    <t>Расходы по внутреннему транспорту (расстояние св.20 до 30 км)</t>
  </si>
  <si>
    <t>Табл.4, &amp;5</t>
  </si>
  <si>
    <t>СБЦ т.4 &amp;5</t>
  </si>
  <si>
    <t>СМЕТА № 3</t>
  </si>
  <si>
    <t>на инженерно-гидрометеорологические изыскания</t>
  </si>
  <si>
    <t>Наименование предприятия, здания, сооружения, стадии проектирования, этапа, вида проектных или изыскательских работ</t>
  </si>
  <si>
    <t>Наименование проектной (изыскательской) организации</t>
  </si>
  <si>
    <t>Справочник базовых цен на инженерные изыскания для строительства</t>
  </si>
  <si>
    <t>Инженерно-гидрографические работы</t>
  </si>
  <si>
    <t>Инженерно-гидрометеорологические изыскания на реках</t>
  </si>
  <si>
    <t>Москва, 2000г.</t>
  </si>
  <si>
    <t>Всего полевых работ</t>
  </si>
  <si>
    <t>Составление программы производства гидрологических работ</t>
  </si>
  <si>
    <t>Всего камеральных работ</t>
  </si>
  <si>
    <t>Повышение стоимости гидрометеорологических работ в связи с применением рай.коэф. и сев.льгот</t>
  </si>
  <si>
    <t xml:space="preserve">   а) полевые работы</t>
  </si>
  <si>
    <t xml:space="preserve">   б) камеральные работы</t>
  </si>
  <si>
    <t>Таб.2 п.4.3</t>
  </si>
  <si>
    <r>
      <t xml:space="preserve">К-0,35 </t>
    </r>
    <r>
      <rPr>
        <sz val="8"/>
        <rFont val="Times New Roman"/>
        <family val="1"/>
        <charset val="204"/>
      </rPr>
      <t>- типовая или повторно применяемая проектная документация</t>
    </r>
  </si>
  <si>
    <t>175,26*0,4*1,15*1,43*</t>
  </si>
  <si>
    <r>
      <rPr>
        <b/>
        <sz val="8"/>
        <rFont val="Times New Roman"/>
        <family val="1"/>
        <charset val="204"/>
      </rPr>
      <t>К-0,84</t>
    </r>
    <r>
      <rPr>
        <sz val="8"/>
        <rFont val="Times New Roman"/>
        <family val="1"/>
      </rPr>
      <t xml:space="preserve"> относит.ст-ть</t>
    </r>
  </si>
  <si>
    <t>1. 11% - трасса</t>
  </si>
  <si>
    <t>2. 27% - земляное полотно</t>
  </si>
  <si>
    <t>4. 11% - дорожная одежда</t>
  </si>
  <si>
    <t>5.6% - организация и безопасность движения</t>
  </si>
  <si>
    <t>175,26*0,6*1,15*1,43*</t>
  </si>
  <si>
    <r>
      <rPr>
        <b/>
        <sz val="8"/>
        <rFont val="Times New Roman"/>
        <family val="1"/>
        <charset val="204"/>
      </rPr>
      <t>К-0,80</t>
    </r>
    <r>
      <rPr>
        <sz val="8"/>
        <rFont val="Times New Roman"/>
        <family val="1"/>
      </rPr>
      <t xml:space="preserve"> относит.ст-ть</t>
    </r>
  </si>
  <si>
    <t>1.9% - трасса</t>
  </si>
  <si>
    <t>2. 42% - земляное полотно</t>
  </si>
  <si>
    <t>5. 10% - организация и безопасность движения</t>
  </si>
  <si>
    <t>15.</t>
  </si>
  <si>
    <t>Смета №5 п.17</t>
  </si>
  <si>
    <t>Смета №5 п.18</t>
  </si>
  <si>
    <t>(25,808+13,814*0,6)*0,6*1,3</t>
  </si>
  <si>
    <t>2,304*0,6*1,15*1,2*1,43*</t>
  </si>
  <si>
    <t>Разработка технического обеспечения АСУТП (12 скв. )</t>
  </si>
  <si>
    <t xml:space="preserve">К - 0,4 объем выполняемых работ </t>
  </si>
  <si>
    <t>К-0,5 гл. 1 п.1,19 (блочное комплектное строительство, а также при использовании в проектах ранее разработанного блочно-комплектного оборуд.</t>
  </si>
  <si>
    <t>*0,5=</t>
  </si>
  <si>
    <t>S=8 га;</t>
  </si>
  <si>
    <t>Обустройство Ватинского месторождения нефти. Куст скважин №253.</t>
  </si>
  <si>
    <t>(нефтегзопровод L=0,35 км)</t>
  </si>
  <si>
    <t>(нефтегзопровод L=6,2 км)</t>
  </si>
  <si>
    <t>(высоконапорный водовод L=0,7 км)</t>
  </si>
  <si>
    <t>по договору № 5202ДН/942-13</t>
  </si>
  <si>
    <t>№пп</t>
  </si>
  <si>
    <t>№№ частей, глав, пунктов, указаний к разделу или главе сборника</t>
  </si>
  <si>
    <t>Расчет стоимости изыскательских работ</t>
  </si>
  <si>
    <t>Стоимость в руб.</t>
  </si>
  <si>
    <t>Рекогносцировочное обследование район работ, 3 кат.сложности</t>
  </si>
  <si>
    <t>т.43 &amp;1, к=1.25 т.43 прим.1, к=1.4 т.2 пар.4, к=1.1 ч.2 п.4</t>
  </si>
  <si>
    <t>42 x 1.25  x 1</t>
  </si>
  <si>
    <t>табл.53 &amp; 1</t>
  </si>
  <si>
    <t>Составление технического отчета при недостаточно изученной территории</t>
  </si>
  <si>
    <t>табл.62 &amp; 3</t>
  </si>
  <si>
    <t>табл.3 пр.'д','е'</t>
  </si>
  <si>
    <t>52 x 1.6</t>
  </si>
  <si>
    <t>2111 x 1.6</t>
  </si>
  <si>
    <t>Куст скважин №253:</t>
  </si>
  <si>
    <t>Всего 24 скважин:</t>
  </si>
  <si>
    <t xml:space="preserve">(33,816+9,123*0,35)*0,4*1,15*
</t>
  </si>
  <si>
    <t xml:space="preserve">(45,876+6,711*6,2)*0,4*1,15*
</t>
  </si>
  <si>
    <t>(25,808+13,814*0,7)*0,4*</t>
  </si>
  <si>
    <t>IV кат. L=0,15 км</t>
  </si>
  <si>
    <t>К-0,03 п.7 гл.3.5. на одну скважину (24 скважины)</t>
  </si>
  <si>
    <t>К - 0,4 (объем работ)</t>
  </si>
  <si>
    <t xml:space="preserve">(33,816+9,123*0,35)*0,6*1,3*
</t>
  </si>
  <si>
    <t xml:space="preserve">(45,876+6,711*6,2)*0,6*1,3*
</t>
  </si>
  <si>
    <t>(25,808+13,814*0,7)*0,6*1,3</t>
  </si>
  <si>
    <t xml:space="preserve">Смета №8 </t>
  </si>
  <si>
    <t>Смета №9</t>
  </si>
  <si>
    <t>КАЛЬКУЛЯЦИЯ №1</t>
  </si>
  <si>
    <t>Кальк.№1</t>
  </si>
  <si>
    <t>Расчет №1</t>
  </si>
  <si>
    <t>((39-(39-28)/(1-0,6)*1-0,628))=28,77</t>
  </si>
  <si>
    <t>на проектные работы</t>
  </si>
  <si>
    <t>Наименование объекта:</t>
  </si>
  <si>
    <t>Наименование работ:</t>
  </si>
  <si>
    <t>Материалы к земельному отводу</t>
  </si>
  <si>
    <t>Наименование Заказчика:</t>
  </si>
  <si>
    <t>Наименование  Подрядчика:</t>
  </si>
  <si>
    <t>№ пп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</si>
  <si>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</si>
  <si>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</si>
  <si>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</si>
  <si>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Материалы к земельному отводу площадные объекты - 8 га; линейные объекты - 4 км</t>
  </si>
  <si>
    <t>Итого по смете:</t>
  </si>
  <si>
    <t>Всего по смете:</t>
  </si>
  <si>
    <t>к=0</t>
  </si>
  <si>
    <t>3461x 0</t>
  </si>
  <si>
    <t xml:space="preserve">К-0 рост инфляции на </t>
  </si>
  <si>
    <t>*1,43*0*0,20*0,30*0,4=</t>
  </si>
  <si>
    <t xml:space="preserve">К-0 инфляционный </t>
  </si>
  <si>
    <t>*0*0,03*24*0,4=</t>
  </si>
  <si>
    <t>К-0 рост инфляции на</t>
  </si>
  <si>
    <t>*0*1,43=</t>
  </si>
  <si>
    <t>374,170*0,6*1,3*1,43*0*</t>
  </si>
  <si>
    <t>134,13*0,6*1,3*1,43*0*</t>
  </si>
  <si>
    <t>1,43*0=</t>
  </si>
  <si>
    <t xml:space="preserve">*1,43*0*1,1*0,96= </t>
  </si>
  <si>
    <t xml:space="preserve">*1,43*0*1,1*0,962= </t>
  </si>
  <si>
    <t>К-0 СМР к ценам 2001г.</t>
  </si>
  <si>
    <t>28,77*0,6*0=</t>
  </si>
  <si>
    <t>28,77*0,6*0*0,35=</t>
  </si>
  <si>
    <t>*1,43*0*0,51=</t>
  </si>
  <si>
    <t>0*0,80=</t>
  </si>
  <si>
    <t>*0*0,33=</t>
  </si>
  <si>
    <t>2,074*0,6*1,2*1,43*0*0,33=</t>
  </si>
  <si>
    <t>1,843*0,6*1,43*0*0,43=</t>
  </si>
  <si>
    <t>6,331*0=</t>
  </si>
  <si>
    <t>374,170*0,4*1,15*1,43*0*</t>
  </si>
  <si>
    <t>134,13*0,4*1,15*1,43*0*</t>
  </si>
  <si>
    <t xml:space="preserve">*1,43*0*1,1*0,96*0,35= </t>
  </si>
  <si>
    <t xml:space="preserve">*1,15*1,43*0*1,1*0,962= </t>
  </si>
  <si>
    <t>28,77*0,4*0=</t>
  </si>
  <si>
    <t>28,77*0,4*0*0,35=</t>
  </si>
  <si>
    <t>*1,43*0*0,61=</t>
  </si>
  <si>
    <t>0*0,84=</t>
  </si>
  <si>
    <t>2,074*0,4*1,2*1,43*0*0,33=</t>
  </si>
  <si>
    <t>1,843*0,4*1,43*0*0,43=</t>
  </si>
  <si>
    <r>
      <rPr>
        <b/>
        <i/>
        <sz val="9"/>
        <rFont val="Arial"/>
        <family val="2"/>
        <charset val="204"/>
      </rPr>
      <t xml:space="preserve">k=1 </t>
    </r>
    <r>
      <rPr>
        <i/>
        <sz val="9"/>
        <rFont val="Arial"/>
        <family val="2"/>
        <charset val="204"/>
      </rPr>
      <t>т.2 &amp;3 (неблагоприятный период года (01.10-31.05)) и далее во спех пунктах по порядку</t>
    </r>
  </si>
  <si>
    <r>
      <t xml:space="preserve">т.9 &amp;5, </t>
    </r>
    <r>
      <rPr>
        <i/>
        <sz val="9"/>
        <color indexed="10"/>
        <rFont val="Arial Cyr"/>
        <charset val="204"/>
      </rPr>
      <t>k=1 т.2 &amp;3</t>
    </r>
  </si>
  <si>
    <t>k=1 т.2 &amp;3</t>
  </si>
  <si>
    <r>
      <t xml:space="preserve">т.15 &amp;1, </t>
    </r>
    <r>
      <rPr>
        <i/>
        <sz val="9"/>
        <color indexed="10"/>
        <rFont val="Arial"/>
        <family val="2"/>
        <charset val="204"/>
      </rPr>
      <t xml:space="preserve"> k=1 т.2 &amp;3</t>
    </r>
  </si>
  <si>
    <r>
      <t xml:space="preserve">т.13 &amp;1,  </t>
    </r>
    <r>
      <rPr>
        <i/>
        <sz val="9"/>
        <color indexed="10"/>
        <rFont val="Arial"/>
        <family val="2"/>
        <charset val="204"/>
      </rPr>
      <t>k=1 т.2 &amp;3</t>
    </r>
  </si>
  <si>
    <r>
      <t xml:space="preserve">т.12 &amp;5,  </t>
    </r>
    <r>
      <rPr>
        <i/>
        <sz val="9"/>
        <color indexed="10"/>
        <rFont val="Arial"/>
        <family val="2"/>
        <charset val="204"/>
      </rPr>
      <t>k=1 т.2 &amp;3</t>
    </r>
  </si>
  <si>
    <t xml:space="preserve">
СБЦ 1995г. №ОНЗТ", т.70
а= 2416 тыс.руб.
в= 5593 тыс.руб.
К1=2,0 (ОНЗТ-96 Прил.1 п.71, прим.1)
К2=0 к ценам 1995г.
Коэф. для площадочн.объекта
К3=1,0-0,90*(1-0,008)=0,1072 для "а" (прим.п.2)
К4=1,2 для "а" и "в" (прим. п.6)
Коэф. для линейного объекта
К6=1,0-0,90*(1-0,04)=0,1360 для "а" (прим.п.2)
К7=1,2 для "а" и "в" (прим. п.6)
К8=3,5 для  "в" (прим. п.11)
</t>
  </si>
  <si>
    <t xml:space="preserve">
((2416*0,1072*1,2)+(5593*1,2*0,008))*0*2/1000
((2416*0,1360*1,2)+(5593*1,2*3,5*0,04))*0*2/1000
</t>
  </si>
  <si>
    <t>Страховые взносы в фонды 0%</t>
  </si>
  <si>
    <t>Накладные расходы 0%</t>
  </si>
  <si>
    <t>Прибыль 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</si>
</sst>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"/>
    <numFmt numFmtId="165" formatCode="0.0"/>
    <numFmt numFmtId="166" formatCode="#,##0.000"/>
    <numFmt numFmtId="167" formatCode="0.000"/>
    <numFmt numFmtId="168" formatCode="0.0000"/>
    <numFmt numFmtId="169" formatCode="#,##0.0_ ;\-#,##0.0\ "/>
    <numFmt numFmtId="170" formatCode="#,##0.00_ ;\-#,##0.00\ "/>
    <numFmt numFmtId="171" formatCode="_-* #,##0.00_р_-;\-* #,##0.00_р_-;_-* &quot;-&quot;??_р_-;_-@_-"/>
    <numFmt numFmtId="172" formatCode="&quot;$&quot;#,##0_);[Red]\(&quot;$&quot;#,##0\)"/>
    <numFmt numFmtId="173" formatCode="_(&quot;$&quot;* #,##0.00_);_(&quot;$&quot;* \(#,##0.00\);_(&quot;$&quot;* &quot;-&quot;??_);_(@_)"/>
    <numFmt numFmtId="174" formatCode="#,##0.000_ ;\-#,##0.000\ "/>
    <numFmt numFmtId="175" formatCode="\ #,##0.00&quot;р. &quot;;\-#,##0.00&quot;р. &quot;;&quot; -&quot;#&quot;р. &quot;;@\ "/>
  </numFmts>
  <fonts count="12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sz val="9"/>
      <name val="Times New Roman"/>
      <family val="1"/>
    </font>
    <font>
      <b/>
      <sz val="11"/>
      <name val="Times New Roman"/>
      <family val="1"/>
    </font>
    <font>
      <b/>
      <i/>
      <sz val="12"/>
      <name val="Times New Roman"/>
      <family val="1"/>
    </font>
    <font>
      <b/>
      <i/>
      <sz val="11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sz val="11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</font>
    <font>
      <b/>
      <sz val="12"/>
      <name val="Times New Roman Cyr"/>
      <family val="1"/>
      <charset val="204"/>
    </font>
    <font>
      <sz val="12"/>
      <name val="Arial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sz val="14"/>
      <name val="Times New Roman"/>
      <family val="1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NTTimes/Cyrillic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b/>
      <sz val="10"/>
      <name val="Arial Cyr"/>
      <family val="2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7.5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i/>
      <sz val="10"/>
      <color indexed="23"/>
      <name val="Times New Roman"/>
      <family val="1"/>
    </font>
    <font>
      <i/>
      <sz val="10"/>
      <color indexed="23"/>
      <name val="Times New Roman CYR"/>
      <family val="1"/>
      <charset val="204"/>
    </font>
    <font>
      <i/>
      <sz val="10"/>
      <color indexed="23"/>
      <name val="Arial Cyr"/>
      <charset val="204"/>
    </font>
    <font>
      <i/>
      <sz val="9"/>
      <color indexed="23"/>
      <name val="Times New Roman"/>
      <family val="1"/>
      <charset val="204"/>
    </font>
    <font>
      <b/>
      <sz val="12"/>
      <name val="Arial Cyr"/>
      <charset val="204"/>
    </font>
    <font>
      <sz val="7.5"/>
      <name val="Times New Roman"/>
      <family val="1"/>
    </font>
    <font>
      <sz val="10.5"/>
      <name val="Times New Roman"/>
      <family val="1"/>
    </font>
    <font>
      <sz val="10.5"/>
      <name val="Times New Roman"/>
      <family val="1"/>
      <charset val="204"/>
    </font>
    <font>
      <sz val="8.5"/>
      <name val="Times New Roman"/>
      <family val="1"/>
      <charset val="204"/>
    </font>
    <font>
      <b/>
      <sz val="8"/>
      <name val="Times New Roman"/>
      <family val="1"/>
    </font>
    <font>
      <vertAlign val="subscript"/>
      <sz val="10"/>
      <name val="Times New Roman"/>
      <family val="1"/>
      <charset val="204"/>
    </font>
    <font>
      <b/>
      <vertAlign val="subscript"/>
      <sz val="10"/>
      <name val="Times New Roman"/>
      <family val="1"/>
    </font>
    <font>
      <vertAlign val="subscript"/>
      <sz val="10"/>
      <name val="Times New Roman"/>
      <family val="1"/>
    </font>
    <font>
      <sz val="12"/>
      <color indexed="8"/>
      <name val="Times New Roman"/>
      <family val="1"/>
      <charset val="204"/>
    </font>
    <font>
      <b/>
      <sz val="11.5"/>
      <name val="Times New Roman"/>
      <family val="1"/>
    </font>
    <font>
      <sz val="9"/>
      <name val="Arial"/>
      <family val="2"/>
    </font>
    <font>
      <i/>
      <sz val="10"/>
      <name val="Arial Cyr"/>
      <charset val="204"/>
    </font>
    <font>
      <i/>
      <sz val="9"/>
      <name val="Arial"/>
      <family val="2"/>
    </font>
    <font>
      <i/>
      <sz val="9"/>
      <name val="Arial Cyr"/>
      <family val="2"/>
      <charset val="204"/>
    </font>
    <font>
      <i/>
      <sz val="9"/>
      <name val="Arial"/>
      <family val="2"/>
      <charset val="204"/>
    </font>
    <font>
      <i/>
      <sz val="10"/>
      <name val="Arial Cyr"/>
      <family val="2"/>
      <charset val="204"/>
    </font>
    <font>
      <sz val="14"/>
      <name val="Arial Cyr"/>
      <family val="2"/>
      <charset val="204"/>
    </font>
    <font>
      <u/>
      <sz val="14"/>
      <name val="Arial Cyr"/>
      <family val="2"/>
      <charset val="204"/>
    </font>
    <font>
      <b/>
      <sz val="16"/>
      <name val="Arial Cyr"/>
      <family val="2"/>
      <charset val="204"/>
    </font>
    <font>
      <b/>
      <sz val="14"/>
      <name val="Arial Cyr"/>
      <family val="2"/>
      <charset val="204"/>
    </font>
    <font>
      <b/>
      <i/>
      <sz val="14"/>
      <name val="Arial Cyr"/>
      <family val="2"/>
      <charset val="204"/>
    </font>
    <font>
      <sz val="13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u/>
      <sz val="8"/>
      <name val="Arial Cyr"/>
      <family val="2"/>
      <charset val="204"/>
    </font>
    <font>
      <u/>
      <sz val="10"/>
      <name val="Arial Cyr"/>
      <family val="2"/>
      <charset val="204"/>
    </font>
    <font>
      <sz val="16"/>
      <name val="Arial Cyr"/>
      <family val="2"/>
      <charset val="204"/>
    </font>
    <font>
      <sz val="8"/>
      <color indexed="8"/>
      <name val="Arial"/>
      <family val="2"/>
      <charset val="204"/>
    </font>
    <font>
      <vertAlign val="superscript"/>
      <sz val="14"/>
      <name val="Arial Cyr"/>
      <family val="2"/>
      <charset val="204"/>
    </font>
    <font>
      <i/>
      <sz val="8"/>
      <name val="Times New Roman"/>
      <family val="1"/>
      <charset val="204"/>
    </font>
    <font>
      <i/>
      <sz val="9"/>
      <color indexed="10"/>
      <name val="Arial"/>
      <family val="2"/>
      <charset val="204"/>
    </font>
    <font>
      <i/>
      <sz val="9"/>
      <color indexed="10"/>
      <name val="Arial Cyr"/>
      <charset val="204"/>
    </font>
    <font>
      <sz val="16"/>
      <name val="Arial Cyr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Arial Cyr"/>
      <charset val="204"/>
    </font>
    <font>
      <sz val="12"/>
      <color rgb="FFFF0000"/>
      <name val="Arial Cyr"/>
      <charset val="204"/>
    </font>
    <font>
      <b/>
      <sz val="10"/>
      <color rgb="FFFF0000"/>
      <name val="Arial Cyr"/>
      <family val="2"/>
      <charset val="204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</font>
    <font>
      <sz val="12"/>
      <color theme="1"/>
      <name val="Times New Roman"/>
      <family val="1"/>
    </font>
    <font>
      <sz val="12"/>
      <color theme="1"/>
      <name val="Arial Cyr"/>
      <charset val="204"/>
    </font>
    <font>
      <sz val="12"/>
      <color theme="1"/>
      <name val="Times New Roman"/>
      <family val="1"/>
      <charset val="204"/>
    </font>
    <font>
      <i/>
      <sz val="9"/>
      <color rgb="FFFF0000"/>
      <name val="Arial"/>
      <family val="2"/>
    </font>
    <font>
      <i/>
      <sz val="10"/>
      <color rgb="FFFF0000"/>
      <name val="Arial Cyr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</font>
    <font>
      <b/>
      <i/>
      <sz val="9"/>
      <name val="Arial"/>
      <family val="2"/>
      <charset val="204"/>
    </font>
    <font>
      <b/>
      <sz val="8"/>
      <name val="Times New Roman"/>
      <family val="1"/>
      <charset val="204"/>
    </font>
    <font>
      <i/>
      <u/>
      <sz val="10"/>
      <name val="Arial Cyr"/>
      <charset val="204"/>
    </font>
    <font>
      <u/>
      <sz val="8"/>
      <name val="Times New Roman"/>
      <family val="1"/>
    </font>
    <font>
      <sz val="11"/>
      <color indexed="8"/>
      <name val="Calibri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i/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</font>
    <font>
      <u/>
      <sz val="12"/>
      <name val="Times New Roman"/>
      <family val="1"/>
      <charset val="204"/>
    </font>
    <font>
      <i/>
      <sz val="12"/>
      <name val="Arial Cyr"/>
      <charset val="204"/>
    </font>
    <font>
      <sz val="8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medium">
        <color rgb="FFFFFFFF"/>
      </left>
      <right/>
      <top/>
      <bottom/>
      <diagonal/>
    </border>
    <border>
      <left/>
      <right/>
      <top/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/>
      <right style="medium">
        <color rgb="FFFFFFFF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6">
    <xf numFmtId="0" fontId="0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4" fontId="36" fillId="0" borderId="0">
      <alignment vertical="center"/>
    </xf>
    <xf numFmtId="4" fontId="36" fillId="0" borderId="0">
      <alignment vertical="center"/>
    </xf>
    <xf numFmtId="0" fontId="35" fillId="0" borderId="0"/>
    <xf numFmtId="38" fontId="38" fillId="0" borderId="0" applyFont="0" applyFill="0" applyBorder="0" applyAlignment="0" applyProtection="0"/>
    <xf numFmtId="171" fontId="39" fillId="0" borderId="0" applyFont="0" applyFill="0" applyBorder="0" applyAlignment="0" applyProtection="0"/>
    <xf numFmtId="172" fontId="38" fillId="0" borderId="0" applyFont="0" applyFill="0" applyBorder="0" applyAlignment="0" applyProtection="0"/>
    <xf numFmtId="173" fontId="39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79" fillId="2" borderId="0">
      <alignment horizontal="left" vertical="center"/>
    </xf>
    <xf numFmtId="14" fontId="28" fillId="0" borderId="0">
      <alignment horizontal="center" wrapText="1"/>
    </xf>
    <xf numFmtId="42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175" fontId="36" fillId="0" borderId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1" fillId="0" borderId="1" applyNumberFormat="0" applyFill="0" applyAlignment="0" applyProtection="0"/>
    <xf numFmtId="0" fontId="29" fillId="0" borderId="0"/>
    <xf numFmtId="0" fontId="25" fillId="0" borderId="0"/>
    <xf numFmtId="0" fontId="25" fillId="0" borderId="0"/>
    <xf numFmtId="4" fontId="37" fillId="0" borderId="0">
      <alignment vertical="center"/>
    </xf>
    <xf numFmtId="0" fontId="18" fillId="0" borderId="0"/>
    <xf numFmtId="0" fontId="18" fillId="0" borderId="0"/>
    <xf numFmtId="0" fontId="18" fillId="0" borderId="0"/>
    <xf numFmtId="4" fontId="37" fillId="0" borderId="0">
      <alignment vertical="center"/>
    </xf>
    <xf numFmtId="0" fontId="86" fillId="0" borderId="0"/>
    <xf numFmtId="0" fontId="86" fillId="0" borderId="0"/>
    <xf numFmtId="0" fontId="29" fillId="0" borderId="0"/>
    <xf numFmtId="0" fontId="25" fillId="0" borderId="0"/>
    <xf numFmtId="0" fontId="22" fillId="0" borderId="0"/>
    <xf numFmtId="0" fontId="36" fillId="0" borderId="0"/>
    <xf numFmtId="0" fontId="86" fillId="0" borderId="0"/>
    <xf numFmtId="0" fontId="25" fillId="0" borderId="0" applyBorder="0">
      <alignment vertical="top" wrapText="1"/>
    </xf>
    <xf numFmtId="9" fontId="25" fillId="0" borderId="0" applyFont="0" applyFill="0" applyBorder="0" applyAlignment="0" applyProtection="0"/>
    <xf numFmtId="167" fontId="30" fillId="0" borderId="0" applyFont="0">
      <alignment horizontal="center"/>
    </xf>
    <xf numFmtId="0" fontId="35" fillId="0" borderId="0"/>
    <xf numFmtId="0" fontId="35" fillId="0" borderId="0"/>
    <xf numFmtId="0" fontId="3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40" fontId="38" fillId="0" borderId="0" applyFont="0" applyFill="0" applyBorder="0" applyAlignment="0" applyProtection="0"/>
    <xf numFmtId="2" fontId="31" fillId="0" borderId="0" applyFill="0" applyBorder="0" applyAlignment="0" applyProtection="0"/>
    <xf numFmtId="41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35" fillId="0" borderId="0"/>
    <xf numFmtId="0" fontId="28" fillId="0" borderId="0"/>
    <xf numFmtId="9" fontId="28" fillId="0" borderId="0" applyFont="0" applyFill="0" applyBorder="0" applyAlignment="0" applyProtection="0"/>
    <xf numFmtId="0" fontId="2" fillId="0" borderId="0"/>
    <xf numFmtId="0" fontId="2" fillId="0" borderId="0"/>
    <xf numFmtId="0" fontId="105" fillId="0" borderId="0"/>
    <xf numFmtId="0" fontId="106" fillId="0" borderId="0">
      <alignment horizontal="center" vertical="center"/>
    </xf>
    <xf numFmtId="0" fontId="106" fillId="0" borderId="0">
      <alignment horizontal="center" vertical="center"/>
    </xf>
    <xf numFmtId="0" fontId="107" fillId="0" borderId="0">
      <alignment horizontal="right" vertical="top"/>
    </xf>
    <xf numFmtId="0" fontId="107" fillId="0" borderId="0">
      <alignment horizontal="center" vertical="center"/>
    </xf>
    <xf numFmtId="0" fontId="107" fillId="0" borderId="0">
      <alignment horizontal="center" vertical="center"/>
    </xf>
    <xf numFmtId="0" fontId="107" fillId="0" borderId="0">
      <alignment horizontal="left" vertical="center"/>
    </xf>
    <xf numFmtId="0" fontId="107" fillId="0" borderId="0">
      <alignment horizontal="center" vertical="center"/>
    </xf>
    <xf numFmtId="0" fontId="107" fillId="0" borderId="0">
      <alignment horizontal="center"/>
    </xf>
    <xf numFmtId="0" fontId="107" fillId="0" borderId="0">
      <alignment horizontal="center"/>
    </xf>
    <xf numFmtId="0" fontId="107" fillId="0" borderId="0">
      <alignment horizontal="left" vertical="top"/>
    </xf>
    <xf numFmtId="0" fontId="39" fillId="0" borderId="0"/>
  </cellStyleXfs>
  <cellXfs count="1281">
    <xf numFmtId="0" fontId="0" fillId="0" borderId="0" xfId="0"/>
    <xf numFmtId="0" fontId="5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0" fillId="0" borderId="0" xfId="0" applyBorder="1"/>
    <xf numFmtId="49" fontId="8" fillId="0" borderId="2" xfId="0" applyNumberFormat="1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top" wrapText="1"/>
    </xf>
    <xf numFmtId="0" fontId="17" fillId="0" borderId="0" xfId="0" applyFont="1" applyAlignment="1">
      <alignment horizontal="right"/>
    </xf>
    <xf numFmtId="49" fontId="8" fillId="0" borderId="2" xfId="0" applyNumberFormat="1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14" fillId="0" borderId="0" xfId="0" applyFont="1" applyFill="1" applyBorder="1"/>
    <xf numFmtId="0" fontId="8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/>
    </xf>
    <xf numFmtId="0" fontId="0" fillId="0" borderId="0" xfId="0" applyFill="1" applyBorder="1"/>
    <xf numFmtId="0" fontId="10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8" fillId="0" borderId="0" xfId="0" applyFont="1" applyFill="1" applyAlignment="1"/>
    <xf numFmtId="0" fontId="13" fillId="0" borderId="0" xfId="0" applyFont="1" applyFill="1" applyAlignment="1"/>
    <xf numFmtId="165" fontId="8" fillId="0" borderId="0" xfId="0" applyNumberFormat="1" applyFont="1" applyFill="1" applyAlignment="1"/>
    <xf numFmtId="0" fontId="10" fillId="0" borderId="0" xfId="0" applyFont="1" applyFill="1" applyAlignment="1"/>
    <xf numFmtId="0" fontId="15" fillId="0" borderId="0" xfId="0" applyFont="1" applyFill="1" applyAlignment="1"/>
    <xf numFmtId="0" fontId="16" fillId="0" borderId="0" xfId="0" applyFont="1" applyFill="1" applyAlignment="1"/>
    <xf numFmtId="0" fontId="3" fillId="0" borderId="0" xfId="0" applyFont="1" applyAlignment="1">
      <alignment horizontal="left"/>
    </xf>
    <xf numFmtId="165" fontId="15" fillId="0" borderId="0" xfId="0" applyNumberFormat="1" applyFont="1" applyFill="1" applyAlignment="1"/>
    <xf numFmtId="0" fontId="8" fillId="0" borderId="5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165" fontId="5" fillId="0" borderId="5" xfId="0" applyNumberFormat="1" applyFont="1" applyFill="1" applyBorder="1" applyAlignment="1">
      <alignment horizontal="center" vertical="top" wrapText="1"/>
    </xf>
    <xf numFmtId="0" fontId="18" fillId="0" borderId="5" xfId="0" applyFont="1" applyFill="1" applyBorder="1" applyAlignment="1">
      <alignment horizontal="center" vertical="top" wrapText="1"/>
    </xf>
    <xf numFmtId="0" fontId="18" fillId="0" borderId="6" xfId="0" applyFont="1" applyFill="1" applyBorder="1" applyAlignment="1">
      <alignment horizontal="center" vertical="top" wrapText="1"/>
    </xf>
    <xf numFmtId="0" fontId="18" fillId="0" borderId="7" xfId="0" applyFont="1" applyFill="1" applyBorder="1" applyAlignment="1">
      <alignment horizontal="center" vertical="top" wrapText="1"/>
    </xf>
    <xf numFmtId="1" fontId="18" fillId="0" borderId="5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0" fontId="0" fillId="0" borderId="0" xfId="0" applyFill="1"/>
    <xf numFmtId="0" fontId="15" fillId="0" borderId="3" xfId="0" applyFont="1" applyFill="1" applyBorder="1" applyAlignment="1"/>
    <xf numFmtId="0" fontId="16" fillId="0" borderId="3" xfId="0" applyFont="1" applyFill="1" applyBorder="1" applyAlignment="1"/>
    <xf numFmtId="0" fontId="20" fillId="0" borderId="3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9" fillId="0" borderId="5" xfId="0" applyFont="1" applyFill="1" applyBorder="1" applyAlignment="1">
      <alignment horizontal="center" vertical="top" wrapText="1"/>
    </xf>
    <xf numFmtId="0" fontId="13" fillId="0" borderId="8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/>
    <xf numFmtId="0" fontId="3" fillId="0" borderId="0" xfId="0" applyFont="1" applyFill="1" applyAlignment="1"/>
    <xf numFmtId="0" fontId="23" fillId="0" borderId="0" xfId="0" applyFont="1" applyFill="1" applyBorder="1"/>
    <xf numFmtId="0" fontId="8" fillId="0" borderId="0" xfId="0" applyFont="1" applyFill="1" applyBorder="1"/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/>
    <xf numFmtId="0" fontId="4" fillId="0" borderId="0" xfId="0" applyFont="1" applyFill="1" applyAlignment="1">
      <alignment horizontal="left" indent="15"/>
    </xf>
    <xf numFmtId="165" fontId="4" fillId="0" borderId="0" xfId="0" applyNumberFormat="1" applyFont="1" applyFill="1" applyAlignment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/>
    <xf numFmtId="49" fontId="4" fillId="0" borderId="0" xfId="0" applyNumberFormat="1" applyFont="1" applyFill="1" applyBorder="1"/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23" fillId="0" borderId="0" xfId="0" applyFont="1" applyFill="1"/>
    <xf numFmtId="166" fontId="10" fillId="0" borderId="3" xfId="0" applyNumberFormat="1" applyFont="1" applyFill="1" applyBorder="1" applyAlignment="1">
      <alignment horizontal="center" vertical="top" wrapText="1"/>
    </xf>
    <xf numFmtId="0" fontId="23" fillId="0" borderId="0" xfId="0" applyFont="1"/>
    <xf numFmtId="0" fontId="17" fillId="0" borderId="0" xfId="0" applyFont="1"/>
    <xf numFmtId="0" fontId="17" fillId="0" borderId="0" xfId="0" applyFont="1" applyBorder="1" applyAlignment="1"/>
    <xf numFmtId="0" fontId="17" fillId="0" borderId="0" xfId="0" applyFont="1" applyBorder="1" applyAlignment="1">
      <alignment horizontal="right"/>
    </xf>
    <xf numFmtId="1" fontId="3" fillId="0" borderId="0" xfId="0" applyNumberFormat="1" applyFont="1" applyFill="1" applyBorder="1" applyAlignment="1">
      <alignment horizontal="left" wrapText="1"/>
    </xf>
    <xf numFmtId="0" fontId="10" fillId="0" borderId="0" xfId="0" applyFont="1" applyFill="1" applyAlignment="1">
      <alignment horizontal="left"/>
    </xf>
    <xf numFmtId="0" fontId="20" fillId="0" borderId="0" xfId="0" applyFont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/>
    <xf numFmtId="0" fontId="20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left"/>
    </xf>
    <xf numFmtId="0" fontId="23" fillId="0" borderId="0" xfId="0" applyFont="1" applyFill="1" applyBorder="1" applyAlignment="1">
      <alignment horizontal="right"/>
    </xf>
    <xf numFmtId="0" fontId="23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13" fillId="0" borderId="0" xfId="0" applyFont="1" applyFill="1" applyBorder="1" applyAlignment="1">
      <alignment horizontal="right" vertical="center"/>
    </xf>
    <xf numFmtId="49" fontId="17" fillId="0" borderId="0" xfId="0" applyNumberFormat="1" applyFont="1" applyBorder="1" applyAlignment="1">
      <alignment horizontal="right"/>
    </xf>
    <xf numFmtId="0" fontId="0" fillId="0" borderId="0" xfId="0" applyFont="1" applyFill="1" applyBorder="1"/>
    <xf numFmtId="0" fontId="8" fillId="0" borderId="0" xfId="0" applyFont="1" applyFill="1" applyAlignment="1">
      <alignment horizontal="left" vertical="top"/>
    </xf>
    <xf numFmtId="0" fontId="13" fillId="0" borderId="0" xfId="0" applyFont="1" applyFill="1" applyAlignment="1">
      <alignment horizontal="center"/>
    </xf>
    <xf numFmtId="0" fontId="8" fillId="0" borderId="0" xfId="0" applyFont="1" applyFill="1" applyAlignment="1">
      <alignment horizontal="left" indent="15"/>
    </xf>
    <xf numFmtId="166" fontId="3" fillId="0" borderId="2" xfId="0" applyNumberFormat="1" applyFont="1" applyFill="1" applyBorder="1" applyAlignment="1">
      <alignment horizontal="center" vertical="top" wrapText="1"/>
    </xf>
    <xf numFmtId="166" fontId="20" fillId="0" borderId="3" xfId="0" applyNumberFormat="1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left" vertical="top" wrapText="1"/>
    </xf>
    <xf numFmtId="0" fontId="13" fillId="6" borderId="2" xfId="0" applyFont="1" applyFill="1" applyBorder="1" applyAlignment="1">
      <alignment vertical="top" wrapText="1"/>
    </xf>
    <xf numFmtId="0" fontId="13" fillId="6" borderId="0" xfId="0" applyFont="1" applyFill="1" applyBorder="1" applyAlignment="1">
      <alignment vertical="top" wrapText="1"/>
    </xf>
    <xf numFmtId="49" fontId="4" fillId="0" borderId="0" xfId="24" applyNumberFormat="1" applyFont="1" applyFill="1" applyAlignment="1">
      <alignment horizontal="right"/>
    </xf>
    <xf numFmtId="0" fontId="4" fillId="0" borderId="0" xfId="24" applyFont="1" applyFill="1" applyAlignment="1">
      <alignment horizontal="right"/>
    </xf>
    <xf numFmtId="0" fontId="25" fillId="0" borderId="0" xfId="24" applyFill="1"/>
    <xf numFmtId="49" fontId="4" fillId="0" borderId="0" xfId="24" applyNumberFormat="1" applyFont="1" applyFill="1"/>
    <xf numFmtId="0" fontId="4" fillId="0" borderId="0" xfId="24" applyFont="1" applyFill="1" applyAlignment="1">
      <alignment horizontal="left"/>
    </xf>
    <xf numFmtId="0" fontId="3" fillId="0" borderId="0" xfId="24" applyFont="1" applyFill="1"/>
    <xf numFmtId="0" fontId="4" fillId="0" borderId="0" xfId="24" applyFont="1" applyFill="1"/>
    <xf numFmtId="49" fontId="4" fillId="0" borderId="0" xfId="24" applyNumberFormat="1" applyFont="1" applyFill="1" applyAlignment="1">
      <alignment horizontal="left"/>
    </xf>
    <xf numFmtId="49" fontId="4" fillId="0" borderId="5" xfId="24" applyNumberFormat="1" applyFont="1" applyFill="1" applyBorder="1" applyAlignment="1">
      <alignment horizontal="center" vertical="top" wrapText="1"/>
    </xf>
    <xf numFmtId="0" fontId="4" fillId="0" borderId="5" xfId="24" applyFont="1" applyFill="1" applyBorder="1" applyAlignment="1">
      <alignment horizontal="center" vertical="top" wrapText="1"/>
    </xf>
    <xf numFmtId="0" fontId="5" fillId="0" borderId="5" xfId="24" applyFont="1" applyFill="1" applyBorder="1" applyAlignment="1">
      <alignment horizontal="center" vertical="top" wrapText="1"/>
    </xf>
    <xf numFmtId="49" fontId="11" fillId="0" borderId="5" xfId="24" applyNumberFormat="1" applyFont="1" applyFill="1" applyBorder="1" applyAlignment="1">
      <alignment horizontal="center" vertical="top" wrapText="1"/>
    </xf>
    <xf numFmtId="49" fontId="11" fillId="0" borderId="3" xfId="24" applyNumberFormat="1" applyFont="1" applyFill="1" applyBorder="1" applyAlignment="1">
      <alignment horizontal="center" vertical="top" wrapText="1"/>
    </xf>
    <xf numFmtId="0" fontId="3" fillId="0" borderId="9" xfId="24" applyFont="1" applyFill="1" applyBorder="1" applyAlignment="1">
      <alignment horizontal="right" vertical="top" wrapText="1"/>
    </xf>
    <xf numFmtId="0" fontId="11" fillId="0" borderId="3" xfId="24" applyFont="1" applyFill="1" applyBorder="1" applyAlignment="1">
      <alignment horizontal="center" vertical="top" wrapText="1"/>
    </xf>
    <xf numFmtId="49" fontId="11" fillId="0" borderId="0" xfId="24" applyNumberFormat="1" applyFont="1" applyFill="1" applyBorder="1" applyAlignment="1">
      <alignment horizontal="center" vertical="top" wrapText="1"/>
    </xf>
    <xf numFmtId="0" fontId="3" fillId="0" borderId="0" xfId="24" applyFont="1" applyFill="1" applyBorder="1" applyAlignment="1">
      <alignment horizontal="right" vertical="top" wrapText="1"/>
    </xf>
    <xf numFmtId="0" fontId="11" fillId="0" borderId="0" xfId="24" applyFont="1" applyFill="1" applyBorder="1" applyAlignment="1">
      <alignment horizontal="center" vertical="top" wrapText="1"/>
    </xf>
    <xf numFmtId="164" fontId="3" fillId="0" borderId="0" xfId="24" applyNumberFormat="1" applyFont="1" applyFill="1" applyBorder="1" applyAlignment="1">
      <alignment horizontal="center" vertical="top" wrapText="1"/>
    </xf>
    <xf numFmtId="49" fontId="3" fillId="0" borderId="0" xfId="24" applyNumberFormat="1" applyFont="1" applyFill="1" applyBorder="1" applyAlignment="1">
      <alignment horizontal="left" vertical="top" wrapText="1"/>
    </xf>
    <xf numFmtId="0" fontId="25" fillId="0" borderId="0" xfId="24" applyFont="1" applyFill="1"/>
    <xf numFmtId="49" fontId="25" fillId="0" borderId="0" xfId="24" applyNumberFormat="1" applyFill="1"/>
    <xf numFmtId="0" fontId="13" fillId="6" borderId="3" xfId="0" applyFont="1" applyFill="1" applyBorder="1" applyAlignment="1">
      <alignment vertical="top" wrapText="1"/>
    </xf>
    <xf numFmtId="0" fontId="25" fillId="0" borderId="0" xfId="24" applyFont="1" applyFill="1" applyBorder="1"/>
    <xf numFmtId="0" fontId="21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8" fillId="0" borderId="0" xfId="0" applyFont="1" applyFill="1" applyBorder="1" applyAlignment="1"/>
    <xf numFmtId="49" fontId="4" fillId="0" borderId="0" xfId="0" applyNumberFormat="1" applyFont="1" applyFill="1" applyBorder="1" applyAlignment="1">
      <alignment horizontal="right"/>
    </xf>
    <xf numFmtId="0" fontId="8" fillId="0" borderId="0" xfId="0" applyFont="1" applyBorder="1" applyAlignment="1"/>
    <xf numFmtId="0" fontId="18" fillId="0" borderId="2" xfId="0" applyFont="1" applyFill="1" applyBorder="1" applyAlignment="1">
      <alignment horizontal="left" vertical="top" wrapText="1"/>
    </xf>
    <xf numFmtId="166" fontId="3" fillId="0" borderId="3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6" fillId="0" borderId="0" xfId="0" applyFont="1" applyFill="1" applyAlignment="1">
      <alignment horizontal="right"/>
    </xf>
    <xf numFmtId="0" fontId="30" fillId="0" borderId="0" xfId="0" applyFont="1" applyFill="1" applyAlignment="1">
      <alignment horizontal="center"/>
    </xf>
    <xf numFmtId="0" fontId="4" fillId="0" borderId="0" xfId="0" applyFont="1" applyAlignment="1">
      <alignment horizontal="left" vertical="top" wrapText="1"/>
    </xf>
    <xf numFmtId="0" fontId="46" fillId="0" borderId="0" xfId="0" applyFont="1" applyFill="1" applyAlignment="1">
      <alignment horizontal="left"/>
    </xf>
    <xf numFmtId="0" fontId="0" fillId="0" borderId="0" xfId="0" applyFill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left"/>
    </xf>
    <xf numFmtId="169" fontId="46" fillId="0" borderId="0" xfId="0" applyNumberFormat="1" applyFont="1" applyFill="1" applyBorder="1" applyAlignment="1">
      <alignment horizontal="center"/>
    </xf>
    <xf numFmtId="0" fontId="47" fillId="0" borderId="2" xfId="0" applyFont="1" applyBorder="1" applyAlignment="1">
      <alignment horizontal="center"/>
    </xf>
    <xf numFmtId="0" fontId="47" fillId="0" borderId="7" xfId="0" applyFont="1" applyBorder="1" applyAlignment="1">
      <alignment horizontal="right"/>
    </xf>
    <xf numFmtId="0" fontId="47" fillId="0" borderId="7" xfId="0" applyFont="1" applyBorder="1" applyAlignment="1">
      <alignment horizontal="left"/>
    </xf>
    <xf numFmtId="49" fontId="47" fillId="0" borderId="7" xfId="0" applyNumberFormat="1" applyFont="1" applyBorder="1" applyAlignment="1">
      <alignment horizontal="left"/>
    </xf>
    <xf numFmtId="2" fontId="47" fillId="0" borderId="7" xfId="0" applyNumberFormat="1" applyFont="1" applyBorder="1" applyAlignment="1">
      <alignment horizontal="right"/>
    </xf>
    <xf numFmtId="1" fontId="47" fillId="0" borderId="7" xfId="0" applyNumberFormat="1" applyFont="1" applyBorder="1" applyAlignment="1">
      <alignment horizontal="left"/>
    </xf>
    <xf numFmtId="170" fontId="47" fillId="3" borderId="2" xfId="0" applyNumberFormat="1" applyFont="1" applyFill="1" applyBorder="1" applyAlignment="1">
      <alignment horizontal="center" vertical="center"/>
    </xf>
    <xf numFmtId="169" fontId="48" fillId="0" borderId="0" xfId="0" applyNumberFormat="1" applyFont="1" applyFill="1" applyBorder="1" applyAlignment="1">
      <alignment horizontal="center"/>
    </xf>
    <xf numFmtId="0" fontId="49" fillId="0" borderId="0" xfId="0" applyFont="1" applyFill="1"/>
    <xf numFmtId="0" fontId="49" fillId="0" borderId="0" xfId="0" applyFont="1"/>
    <xf numFmtId="0" fontId="47" fillId="0" borderId="3" xfId="0" applyFont="1" applyBorder="1" applyAlignment="1">
      <alignment horizontal="center"/>
    </xf>
    <xf numFmtId="170" fontId="47" fillId="3" borderId="3" xfId="0" applyNumberFormat="1" applyFont="1" applyFill="1" applyBorder="1" applyAlignment="1">
      <alignment horizontal="center" vertical="center"/>
    </xf>
    <xf numFmtId="174" fontId="4" fillId="3" borderId="8" xfId="0" applyNumberFormat="1" applyFont="1" applyFill="1" applyBorder="1" applyAlignment="1">
      <alignment horizontal="center" vertical="center"/>
    </xf>
    <xf numFmtId="2" fontId="0" fillId="4" borderId="0" xfId="0" applyNumberFormat="1" applyFill="1"/>
    <xf numFmtId="49" fontId="47" fillId="0" borderId="7" xfId="0" applyNumberFormat="1" applyFont="1" applyBorder="1" applyAlignment="1">
      <alignment horizontal="left" vertical="center"/>
    </xf>
    <xf numFmtId="1" fontId="47" fillId="0" borderId="7" xfId="0" applyNumberFormat="1" applyFont="1" applyBorder="1" applyAlignment="1">
      <alignment horizontal="left" vertical="center"/>
    </xf>
    <xf numFmtId="174" fontId="47" fillId="3" borderId="2" xfId="0" applyNumberFormat="1" applyFont="1" applyFill="1" applyBorder="1" applyAlignment="1">
      <alignment horizontal="center" vertical="center"/>
    </xf>
    <xf numFmtId="1" fontId="47" fillId="0" borderId="7" xfId="0" applyNumberFormat="1" applyFont="1" applyFill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174" fontId="4" fillId="3" borderId="5" xfId="0" applyNumberFormat="1" applyFont="1" applyFill="1" applyBorder="1" applyAlignment="1">
      <alignment horizontal="center" vertical="center"/>
    </xf>
    <xf numFmtId="165" fontId="0" fillId="7" borderId="43" xfId="0" applyNumberFormat="1" applyFont="1" applyFill="1" applyBorder="1"/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174" fontId="4" fillId="3" borderId="2" xfId="0" applyNumberFormat="1" applyFont="1" applyFill="1" applyBorder="1" applyAlignment="1">
      <alignment horizontal="center" vertical="center"/>
    </xf>
    <xf numFmtId="1" fontId="47" fillId="0" borderId="7" xfId="0" applyNumberFormat="1" applyFont="1" applyBorder="1" applyAlignment="1">
      <alignment horizontal="left" vertical="center" wrapText="1"/>
    </xf>
    <xf numFmtId="2" fontId="47" fillId="0" borderId="7" xfId="0" applyNumberFormat="1" applyFont="1" applyBorder="1" applyAlignment="1">
      <alignment horizontal="right" vertical="center"/>
    </xf>
    <xf numFmtId="0" fontId="47" fillId="0" borderId="7" xfId="0" applyFont="1" applyBorder="1" applyAlignment="1">
      <alignment horizontal="center" vertical="center"/>
    </xf>
    <xf numFmtId="1" fontId="47" fillId="0" borderId="7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left"/>
    </xf>
    <xf numFmtId="174" fontId="3" fillId="3" borderId="5" xfId="0" applyNumberFormat="1" applyFont="1" applyFill="1" applyBorder="1" applyAlignment="1">
      <alignment horizontal="center" vertical="center"/>
    </xf>
    <xf numFmtId="169" fontId="30" fillId="0" borderId="0" xfId="0" applyNumberFormat="1" applyFont="1" applyFill="1" applyBorder="1" applyAlignment="1">
      <alignment horizontal="center"/>
    </xf>
    <xf numFmtId="164" fontId="41" fillId="5" borderId="0" xfId="0" applyNumberFormat="1" applyFont="1" applyFill="1" applyBorder="1"/>
    <xf numFmtId="165" fontId="41" fillId="0" borderId="0" xfId="0" applyNumberFormat="1" applyFont="1" applyFill="1" applyBorder="1" applyAlignment="1">
      <alignment horizontal="left"/>
    </xf>
    <xf numFmtId="174" fontId="4" fillId="0" borderId="5" xfId="0" applyNumberFormat="1" applyFont="1" applyBorder="1" applyAlignment="1">
      <alignment horizontal="center" vertical="center"/>
    </xf>
    <xf numFmtId="164" fontId="0" fillId="5" borderId="0" xfId="0" applyNumberFormat="1" applyFill="1" applyBorder="1"/>
    <xf numFmtId="0" fontId="0" fillId="0" borderId="0" xfId="0" applyFill="1" applyBorder="1" applyAlignment="1">
      <alignment horizontal="left"/>
    </xf>
    <xf numFmtId="0" fontId="4" fillId="0" borderId="5" xfId="0" applyFont="1" applyBorder="1"/>
    <xf numFmtId="0" fontId="3" fillId="0" borderId="7" xfId="0" applyFont="1" applyBorder="1" applyAlignment="1">
      <alignment horizontal="left"/>
    </xf>
    <xf numFmtId="174" fontId="3" fillId="0" borderId="5" xfId="0" applyNumberFormat="1" applyFont="1" applyBorder="1" applyAlignment="1">
      <alignment horizontal="center" vertical="center"/>
    </xf>
    <xf numFmtId="164" fontId="0" fillId="5" borderId="0" xfId="0" applyNumberFormat="1" applyFill="1"/>
    <xf numFmtId="0" fontId="0" fillId="0" borderId="0" xfId="0" applyAlignment="1">
      <alignment horizontal="left"/>
    </xf>
    <xf numFmtId="0" fontId="5" fillId="0" borderId="5" xfId="0" applyFont="1" applyBorder="1"/>
    <xf numFmtId="174" fontId="3" fillId="0" borderId="5" xfId="0" applyNumberFormat="1" applyFont="1" applyFill="1" applyBorder="1" applyAlignment="1">
      <alignment horizontal="center" vertical="center"/>
    </xf>
    <xf numFmtId="0" fontId="5" fillId="0" borderId="0" xfId="0" applyFont="1" applyBorder="1"/>
    <xf numFmtId="0" fontId="3" fillId="0" borderId="0" xfId="0" applyFont="1" applyBorder="1" applyAlignment="1">
      <alignment horizontal="left"/>
    </xf>
    <xf numFmtId="17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/>
    </xf>
    <xf numFmtId="4" fontId="10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0" fontId="51" fillId="0" borderId="0" xfId="0" applyFont="1" applyFill="1" applyBorder="1"/>
    <xf numFmtId="0" fontId="46" fillId="0" borderId="0" xfId="0" applyFont="1" applyBorder="1" applyAlignment="1">
      <alignment horizontal="left"/>
    </xf>
    <xf numFmtId="0" fontId="8" fillId="0" borderId="8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right"/>
    </xf>
    <xf numFmtId="49" fontId="4" fillId="0" borderId="0" xfId="0" applyNumberFormat="1" applyFont="1" applyFill="1" applyBorder="1" applyAlignment="1">
      <alignment horizontal="center"/>
    </xf>
    <xf numFmtId="0" fontId="23" fillId="0" borderId="0" xfId="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 indent="15"/>
    </xf>
    <xf numFmtId="0" fontId="4" fillId="0" borderId="0" xfId="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8" xfId="0" applyFont="1" applyFill="1" applyBorder="1" applyAlignment="1">
      <alignment vertical="top" wrapText="1"/>
    </xf>
    <xf numFmtId="166" fontId="10" fillId="0" borderId="8" xfId="0" applyNumberFormat="1" applyFont="1" applyFill="1" applyBorder="1" applyAlignment="1">
      <alignment horizontal="center" vertical="top" wrapText="1"/>
    </xf>
    <xf numFmtId="166" fontId="10" fillId="0" borderId="2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justify"/>
    </xf>
    <xf numFmtId="0" fontId="19" fillId="0" borderId="0" xfId="0" applyFont="1" applyFill="1" applyBorder="1" applyAlignment="1">
      <alignment horizontal="right"/>
    </xf>
    <xf numFmtId="49" fontId="5" fillId="0" borderId="0" xfId="0" applyNumberFormat="1" applyFont="1" applyFill="1" applyBorder="1"/>
    <xf numFmtId="4" fontId="10" fillId="0" borderId="0" xfId="0" applyNumberFormat="1" applyFont="1" applyFill="1" applyBorder="1" applyAlignment="1">
      <alignment horizontal="left" vertical="top"/>
    </xf>
    <xf numFmtId="0" fontId="25" fillId="0" borderId="0" xfId="0" applyFont="1" applyFill="1" applyBorder="1"/>
    <xf numFmtId="1" fontId="25" fillId="0" borderId="0" xfId="0" applyNumberFormat="1" applyFont="1" applyFill="1" applyBorder="1"/>
    <xf numFmtId="49" fontId="5" fillId="0" borderId="5" xfId="0" applyNumberFormat="1" applyFont="1" applyFill="1" applyBorder="1" applyAlignment="1">
      <alignment vertical="top" wrapText="1"/>
    </xf>
    <xf numFmtId="166" fontId="19" fillId="0" borderId="5" xfId="0" applyNumberFormat="1" applyFont="1" applyFill="1" applyBorder="1" applyAlignment="1">
      <alignment horizontal="center" vertical="top" wrapText="1"/>
    </xf>
    <xf numFmtId="0" fontId="18" fillId="0" borderId="15" xfId="0" applyFont="1" applyFill="1" applyBorder="1" applyAlignment="1">
      <alignment vertical="top" wrapText="1"/>
    </xf>
    <xf numFmtId="0" fontId="53" fillId="0" borderId="2" xfId="0" applyFont="1" applyFill="1" applyBorder="1" applyAlignment="1">
      <alignment vertical="top" wrapText="1"/>
    </xf>
    <xf numFmtId="166" fontId="19" fillId="0" borderId="8" xfId="0" applyNumberFormat="1" applyFont="1" applyFill="1" applyBorder="1" applyAlignment="1">
      <alignment horizontal="center" vertical="top" wrapText="1"/>
    </xf>
    <xf numFmtId="2" fontId="47" fillId="0" borderId="7" xfId="0" applyNumberFormat="1" applyFont="1" applyBorder="1" applyAlignment="1">
      <alignment horizontal="center" vertical="center"/>
    </xf>
    <xf numFmtId="165" fontId="47" fillId="0" borderId="7" xfId="0" applyNumberFormat="1" applyFont="1" applyBorder="1" applyAlignment="1">
      <alignment horizontal="right" vertical="center"/>
    </xf>
    <xf numFmtId="2" fontId="47" fillId="0" borderId="7" xfId="0" applyNumberFormat="1" applyFont="1" applyFill="1" applyBorder="1" applyAlignment="1">
      <alignment horizontal="left" vertical="center"/>
    </xf>
    <xf numFmtId="0" fontId="18" fillId="0" borderId="0" xfId="0" applyFont="1" applyFill="1" applyBorder="1"/>
    <xf numFmtId="0" fontId="55" fillId="0" borderId="2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left" vertical="top" wrapText="1"/>
    </xf>
    <xf numFmtId="0" fontId="18" fillId="6" borderId="0" xfId="0" applyFont="1" applyFill="1" applyBorder="1"/>
    <xf numFmtId="0" fontId="55" fillId="0" borderId="3" xfId="0" applyFont="1" applyFill="1" applyBorder="1" applyAlignment="1">
      <alignment vertical="top" wrapText="1"/>
    </xf>
    <xf numFmtId="0" fontId="8" fillId="0" borderId="5" xfId="0" applyFont="1" applyFill="1" applyBorder="1" applyAlignment="1">
      <alignment vertical="top" wrapText="1"/>
    </xf>
    <xf numFmtId="0" fontId="13" fillId="0" borderId="5" xfId="0" applyFont="1" applyFill="1" applyBorder="1" applyAlignment="1">
      <alignment horizontal="left" vertical="center" wrapText="1"/>
    </xf>
    <xf numFmtId="1" fontId="4" fillId="0" borderId="0" xfId="0" applyNumberFormat="1" applyFont="1" applyBorder="1" applyAlignment="1">
      <alignment horizontal="left" vertical="top"/>
    </xf>
    <xf numFmtId="0" fontId="23" fillId="0" borderId="0" xfId="0" applyFont="1" applyBorder="1" applyAlignment="1">
      <alignment horizontal="left" vertical="top"/>
    </xf>
    <xf numFmtId="0" fontId="13" fillId="0" borderId="0" xfId="0" applyFont="1" applyBorder="1" applyAlignment="1"/>
    <xf numFmtId="165" fontId="8" fillId="0" borderId="0" xfId="0" applyNumberFormat="1" applyFont="1" applyBorder="1" applyAlignment="1"/>
    <xf numFmtId="0" fontId="3" fillId="0" borderId="0" xfId="0" applyFont="1" applyBorder="1" applyAlignment="1"/>
    <xf numFmtId="0" fontId="8" fillId="0" borderId="2" xfId="0" applyFont="1" applyFill="1" applyBorder="1" applyAlignment="1"/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18" fillId="0" borderId="8" xfId="0" applyFont="1" applyFill="1" applyBorder="1" applyAlignment="1">
      <alignment horizontal="left" vertical="top" wrapText="1"/>
    </xf>
    <xf numFmtId="0" fontId="23" fillId="0" borderId="0" xfId="0" applyFont="1" applyBorder="1"/>
    <xf numFmtId="1" fontId="4" fillId="0" borderId="0" xfId="0" applyNumberFormat="1" applyFont="1" applyFill="1" applyBorder="1" applyAlignment="1">
      <alignment horizontal="left" vertical="top"/>
    </xf>
    <xf numFmtId="0" fontId="4" fillId="0" borderId="0" xfId="0" applyFont="1" applyAlignment="1">
      <alignment horizontal="right"/>
    </xf>
    <xf numFmtId="0" fontId="11" fillId="0" borderId="5" xfId="24" applyFont="1" applyFill="1" applyBorder="1" applyAlignment="1">
      <alignment horizontal="center" vertical="top" wrapText="1"/>
    </xf>
    <xf numFmtId="49" fontId="3" fillId="0" borderId="5" xfId="24" applyNumberFormat="1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vertical="top" wrapText="1"/>
    </xf>
    <xf numFmtId="0" fontId="18" fillId="0" borderId="14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/>
    <xf numFmtId="0" fontId="13" fillId="0" borderId="8" xfId="0" applyFont="1" applyFill="1" applyBorder="1" applyAlignment="1">
      <alignment vertical="top" wrapText="1"/>
    </xf>
    <xf numFmtId="0" fontId="13" fillId="0" borderId="10" xfId="0" applyFont="1" applyFill="1" applyBorder="1" applyAlignment="1">
      <alignment vertical="top" wrapText="1"/>
    </xf>
    <xf numFmtId="0" fontId="8" fillId="0" borderId="8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166" fontId="10" fillId="0" borderId="5" xfId="0" applyNumberFormat="1" applyFont="1" applyFill="1" applyBorder="1" applyAlignment="1">
      <alignment horizontal="center" vertical="top" wrapText="1"/>
    </xf>
    <xf numFmtId="0" fontId="18" fillId="0" borderId="2" xfId="0" applyFont="1" applyFill="1" applyBorder="1" applyAlignment="1"/>
    <xf numFmtId="0" fontId="8" fillId="6" borderId="15" xfId="0" applyFont="1" applyFill="1" applyBorder="1" applyAlignment="1">
      <alignment horizontal="left" vertical="top" wrapText="1"/>
    </xf>
    <xf numFmtId="0" fontId="18" fillId="0" borderId="8" xfId="0" applyFont="1" applyFill="1" applyBorder="1" applyAlignment="1"/>
    <xf numFmtId="166" fontId="19" fillId="0" borderId="8" xfId="0" applyNumberFormat="1" applyFont="1" applyFill="1" applyBorder="1" applyAlignment="1">
      <alignment horizontal="center"/>
    </xf>
    <xf numFmtId="0" fontId="15" fillId="0" borderId="2" xfId="0" applyFont="1" applyFill="1" applyBorder="1" applyAlignment="1"/>
    <xf numFmtId="166" fontId="15" fillId="0" borderId="2" xfId="0" applyNumberFormat="1" applyFont="1" applyFill="1" applyBorder="1" applyAlignment="1">
      <alignment horizontal="center"/>
    </xf>
    <xf numFmtId="0" fontId="18" fillId="0" borderId="3" xfId="0" applyFont="1" applyFill="1" applyBorder="1" applyAlignment="1"/>
    <xf numFmtId="166" fontId="15" fillId="0" borderId="3" xfId="0" applyNumberFormat="1" applyFont="1" applyFill="1" applyBorder="1" applyAlignment="1">
      <alignment horizontal="center"/>
    </xf>
    <xf numFmtId="0" fontId="19" fillId="0" borderId="11" xfId="0" applyFont="1" applyFill="1" applyBorder="1" applyAlignment="1">
      <alignment horizontal="right" vertical="top" wrapText="1"/>
    </xf>
    <xf numFmtId="0" fontId="10" fillId="0" borderId="0" xfId="0" applyFont="1" applyBorder="1" applyAlignment="1"/>
    <xf numFmtId="0" fontId="4" fillId="0" borderId="9" xfId="0" applyFont="1" applyBorder="1" applyAlignment="1"/>
    <xf numFmtId="0" fontId="8" fillId="0" borderId="9" xfId="0" applyFont="1" applyBorder="1" applyAlignment="1"/>
    <xf numFmtId="0" fontId="13" fillId="0" borderId="9" xfId="0" applyFont="1" applyBorder="1" applyAlignment="1"/>
    <xf numFmtId="165" fontId="8" fillId="0" borderId="9" xfId="0" applyNumberFormat="1" applyFont="1" applyBorder="1" applyAlignment="1"/>
    <xf numFmtId="49" fontId="9" fillId="0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3" fontId="8" fillId="0" borderId="5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vertical="top" wrapText="1"/>
    </xf>
    <xf numFmtId="0" fontId="13" fillId="0" borderId="5" xfId="0" applyFont="1" applyFill="1" applyBorder="1" applyAlignment="1">
      <alignment horizontal="left" vertical="center"/>
    </xf>
    <xf numFmtId="0" fontId="20" fillId="0" borderId="5" xfId="0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left" wrapText="1"/>
    </xf>
    <xf numFmtId="1" fontId="5" fillId="0" borderId="4" xfId="0" applyNumberFormat="1" applyFont="1" applyBorder="1" applyAlignment="1"/>
    <xf numFmtId="165" fontId="10" fillId="0" borderId="0" xfId="0" applyNumberFormat="1" applyFont="1" applyBorder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0" borderId="0" xfId="0" applyFont="1"/>
    <xf numFmtId="0" fontId="4" fillId="0" borderId="0" xfId="0" applyFont="1" applyAlignment="1">
      <alignment horizontal="left" indent="15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left" vertical="top" wrapText="1"/>
    </xf>
    <xf numFmtId="0" fontId="13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4" fillId="6" borderId="8" xfId="24" applyFont="1" applyFill="1" applyBorder="1" applyAlignment="1">
      <alignment horizontal="center" vertical="top" wrapText="1"/>
    </xf>
    <xf numFmtId="0" fontId="8" fillId="6" borderId="8" xfId="24" applyFont="1" applyFill="1" applyBorder="1" applyAlignment="1">
      <alignment vertical="top" wrapText="1"/>
    </xf>
    <xf numFmtId="0" fontId="13" fillId="6" borderId="14" xfId="24" applyFont="1" applyFill="1" applyBorder="1" applyAlignment="1">
      <alignment vertical="top" wrapText="1"/>
    </xf>
    <xf numFmtId="0" fontId="8" fillId="6" borderId="8" xfId="24" applyFont="1" applyFill="1" applyBorder="1" applyAlignment="1">
      <alignment horizontal="left" vertical="top" wrapText="1"/>
    </xf>
    <xf numFmtId="0" fontId="5" fillId="6" borderId="2" xfId="24" applyFont="1" applyFill="1" applyBorder="1" applyAlignment="1">
      <alignment vertical="top" wrapText="1"/>
    </xf>
    <xf numFmtId="0" fontId="8" fillId="6" borderId="2" xfId="24" applyFont="1" applyFill="1" applyBorder="1" applyAlignment="1"/>
    <xf numFmtId="0" fontId="13" fillId="6" borderId="10" xfId="24" applyFont="1" applyFill="1" applyBorder="1" applyAlignment="1">
      <alignment vertical="top" wrapText="1"/>
    </xf>
    <xf numFmtId="0" fontId="8" fillId="6" borderId="2" xfId="24" applyFont="1" applyFill="1" applyBorder="1" applyAlignment="1">
      <alignment horizontal="left" vertical="top" wrapText="1"/>
    </xf>
    <xf numFmtId="0" fontId="5" fillId="6" borderId="2" xfId="24" applyFont="1" applyFill="1" applyBorder="1" applyAlignment="1"/>
    <xf numFmtId="0" fontId="27" fillId="6" borderId="2" xfId="24" applyFont="1" applyFill="1" applyBorder="1" applyAlignment="1">
      <alignment horizontal="left" vertical="top" wrapText="1"/>
    </xf>
    <xf numFmtId="0" fontId="27" fillId="6" borderId="2" xfId="24" applyFont="1" applyFill="1" applyBorder="1" applyAlignment="1"/>
    <xf numFmtId="0" fontId="5" fillId="6" borderId="3" xfId="24" applyFont="1" applyFill="1" applyBorder="1" applyAlignment="1">
      <alignment vertical="top" wrapText="1"/>
    </xf>
    <xf numFmtId="0" fontId="5" fillId="6" borderId="3" xfId="24" applyFont="1" applyFill="1" applyBorder="1" applyAlignment="1"/>
    <xf numFmtId="0" fontId="13" fillId="6" borderId="16" xfId="24" applyFont="1" applyFill="1" applyBorder="1" applyAlignment="1">
      <alignment vertical="top" wrapText="1"/>
    </xf>
    <xf numFmtId="0" fontId="8" fillId="6" borderId="3" xfId="24" applyFont="1" applyFill="1" applyBorder="1" applyAlignment="1">
      <alignment horizontal="left" vertical="top" wrapText="1"/>
    </xf>
    <xf numFmtId="0" fontId="5" fillId="6" borderId="5" xfId="0" applyFont="1" applyFill="1" applyBorder="1" applyAlignment="1">
      <alignment vertical="top" wrapText="1"/>
    </xf>
    <xf numFmtId="0" fontId="8" fillId="6" borderId="5" xfId="0" applyFont="1" applyFill="1" applyBorder="1" applyAlignment="1">
      <alignment horizontal="left" vertical="top" wrapText="1"/>
    </xf>
    <xf numFmtId="0" fontId="13" fillId="6" borderId="5" xfId="0" applyFont="1" applyFill="1" applyBorder="1" applyAlignment="1">
      <alignment vertical="top" wrapText="1"/>
    </xf>
    <xf numFmtId="0" fontId="3" fillId="6" borderId="5" xfId="0" applyFont="1" applyFill="1" applyBorder="1" applyAlignment="1">
      <alignment horizontal="right" vertical="top" wrapText="1"/>
    </xf>
    <xf numFmtId="3" fontId="10" fillId="6" borderId="8" xfId="24" applyNumberFormat="1" applyFont="1" applyFill="1" applyBorder="1" applyAlignment="1">
      <alignment horizontal="center" vertical="top" wrapText="1"/>
    </xf>
    <xf numFmtId="3" fontId="3" fillId="6" borderId="2" xfId="24" applyNumberFormat="1" applyFont="1" applyFill="1" applyBorder="1" applyAlignment="1">
      <alignment horizontal="center" vertical="top" wrapText="1"/>
    </xf>
    <xf numFmtId="3" fontId="3" fillId="6" borderId="3" xfId="24" applyNumberFormat="1" applyFont="1" applyFill="1" applyBorder="1" applyAlignment="1">
      <alignment horizontal="center" vertical="top" wrapText="1"/>
    </xf>
    <xf numFmtId="3" fontId="3" fillId="6" borderId="5" xfId="0" applyNumberFormat="1" applyFont="1" applyFill="1" applyBorder="1" applyAlignment="1">
      <alignment horizontal="center" vertical="top" wrapText="1"/>
    </xf>
    <xf numFmtId="0" fontId="5" fillId="0" borderId="15" xfId="0" applyFont="1" applyFill="1" applyBorder="1" applyAlignment="1">
      <alignment horizontal="left" vertical="top" wrapText="1"/>
    </xf>
    <xf numFmtId="0" fontId="41" fillId="0" borderId="0" xfId="0" applyFont="1"/>
    <xf numFmtId="0" fontId="62" fillId="0" borderId="0" xfId="0" applyFont="1"/>
    <xf numFmtId="0" fontId="89" fillId="0" borderId="0" xfId="0" applyFont="1"/>
    <xf numFmtId="0" fontId="14" fillId="0" borderId="0" xfId="0" applyFont="1"/>
    <xf numFmtId="0" fontId="0" fillId="0" borderId="13" xfId="0" applyBorder="1"/>
    <xf numFmtId="0" fontId="0" fillId="0" borderId="11" xfId="0" applyBorder="1"/>
    <xf numFmtId="0" fontId="0" fillId="0" borderId="14" xfId="0" applyBorder="1"/>
    <xf numFmtId="0" fontId="0" fillId="0" borderId="2" xfId="0" applyBorder="1"/>
    <xf numFmtId="0" fontId="0" fillId="0" borderId="4" xfId="0" applyBorder="1"/>
    <xf numFmtId="0" fontId="0" fillId="0" borderId="10" xfId="0" applyBorder="1"/>
    <xf numFmtId="0" fontId="0" fillId="0" borderId="3" xfId="0" applyBorder="1"/>
    <xf numFmtId="0" fontId="0" fillId="0" borderId="15" xfId="0" applyBorder="1"/>
    <xf numFmtId="0" fontId="0" fillId="0" borderId="9" xfId="0" applyBorder="1"/>
    <xf numFmtId="0" fontId="0" fillId="0" borderId="16" xfId="0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63" fillId="0" borderId="4" xfId="0" applyFont="1" applyBorder="1"/>
    <xf numFmtId="0" fontId="63" fillId="0" borderId="0" xfId="0" applyFont="1"/>
    <xf numFmtId="0" fontId="63" fillId="0" borderId="14" xfId="0" applyFont="1" applyBorder="1"/>
    <xf numFmtId="0" fontId="63" fillId="0" borderId="0" xfId="0" applyFont="1" applyBorder="1" applyAlignment="1">
      <alignment horizontal="left"/>
    </xf>
    <xf numFmtId="0" fontId="63" fillId="0" borderId="10" xfId="0" applyFont="1" applyBorder="1"/>
    <xf numFmtId="0" fontId="63" fillId="0" borderId="8" xfId="0" applyFont="1" applyBorder="1" applyAlignment="1">
      <alignment horizontal="center"/>
    </xf>
    <xf numFmtId="0" fontId="64" fillId="0" borderId="13" xfId="0" applyFont="1" applyFill="1" applyBorder="1"/>
    <xf numFmtId="0" fontId="63" fillId="0" borderId="11" xfId="0" applyFont="1" applyFill="1" applyBorder="1"/>
    <xf numFmtId="0" fontId="63" fillId="0" borderId="14" xfId="0" applyFont="1" applyFill="1" applyBorder="1"/>
    <xf numFmtId="0" fontId="63" fillId="0" borderId="13" xfId="0" applyFont="1" applyFill="1" applyBorder="1"/>
    <xf numFmtId="0" fontId="63" fillId="0" borderId="8" xfId="0" applyFont="1" applyFill="1" applyBorder="1"/>
    <xf numFmtId="0" fontId="63" fillId="0" borderId="2" xfId="0" applyFont="1" applyBorder="1"/>
    <xf numFmtId="0" fontId="64" fillId="0" borderId="4" xfId="0" applyFont="1" applyFill="1" applyBorder="1"/>
    <xf numFmtId="0" fontId="63" fillId="0" borderId="0" xfId="0" applyFont="1" applyFill="1" applyBorder="1"/>
    <xf numFmtId="0" fontId="63" fillId="0" borderId="10" xfId="0" applyFont="1" applyFill="1" applyBorder="1"/>
    <xf numFmtId="0" fontId="63" fillId="0" borderId="4" xfId="0" applyFont="1" applyFill="1" applyBorder="1"/>
    <xf numFmtId="0" fontId="63" fillId="0" borderId="2" xfId="0" applyFont="1" applyFill="1" applyBorder="1"/>
    <xf numFmtId="1" fontId="63" fillId="0" borderId="2" xfId="0" applyNumberFormat="1" applyFont="1" applyFill="1" applyBorder="1"/>
    <xf numFmtId="0" fontId="63" fillId="0" borderId="8" xfId="0" applyFont="1" applyBorder="1"/>
    <xf numFmtId="1" fontId="63" fillId="0" borderId="8" xfId="0" applyNumberFormat="1" applyFont="1" applyFill="1" applyBorder="1"/>
    <xf numFmtId="0" fontId="63" fillId="0" borderId="3" xfId="0" applyFont="1" applyBorder="1"/>
    <xf numFmtId="0" fontId="64" fillId="0" borderId="15" xfId="0" applyFont="1" applyFill="1" applyBorder="1"/>
    <xf numFmtId="0" fontId="63" fillId="0" borderId="9" xfId="0" applyFont="1" applyFill="1" applyBorder="1"/>
    <xf numFmtId="0" fontId="63" fillId="0" borderId="16" xfId="0" applyFont="1" applyFill="1" applyBorder="1"/>
    <xf numFmtId="0" fontId="63" fillId="0" borderId="15" xfId="0" applyFont="1" applyFill="1" applyBorder="1"/>
    <xf numFmtId="1" fontId="63" fillId="0" borderId="3" xfId="0" applyNumberFormat="1" applyFont="1" applyFill="1" applyBorder="1"/>
    <xf numFmtId="1" fontId="63" fillId="0" borderId="8" xfId="0" applyNumberFormat="1" applyFont="1" applyFill="1" applyBorder="1" applyAlignment="1">
      <alignment horizontal="right"/>
    </xf>
    <xf numFmtId="0" fontId="63" fillId="0" borderId="2" xfId="0" applyFont="1" applyBorder="1" applyAlignment="1">
      <alignment horizontal="center"/>
    </xf>
    <xf numFmtId="1" fontId="63" fillId="0" borderId="2" xfId="0" applyNumberFormat="1" applyFont="1" applyFill="1" applyBorder="1" applyAlignment="1">
      <alignment horizontal="right"/>
    </xf>
    <xf numFmtId="0" fontId="63" fillId="0" borderId="3" xfId="0" applyFont="1" applyBorder="1" applyAlignment="1">
      <alignment horizontal="center"/>
    </xf>
    <xf numFmtId="1" fontId="63" fillId="0" borderId="3" xfId="0" applyNumberFormat="1" applyFont="1" applyFill="1" applyBorder="1" applyAlignment="1">
      <alignment horizontal="right"/>
    </xf>
    <xf numFmtId="0" fontId="65" fillId="0" borderId="4" xfId="0" applyFont="1" applyFill="1" applyBorder="1"/>
    <xf numFmtId="0" fontId="63" fillId="0" borderId="5" xfId="0" applyFont="1" applyBorder="1" applyAlignment="1">
      <alignment horizontal="center"/>
    </xf>
    <xf numFmtId="0" fontId="63" fillId="0" borderId="7" xfId="0" applyFont="1" applyFill="1" applyBorder="1"/>
    <xf numFmtId="0" fontId="63" fillId="0" borderId="6" xfId="0" applyFont="1" applyFill="1" applyBorder="1"/>
    <xf numFmtId="0" fontId="63" fillId="0" borderId="12" xfId="0" applyFont="1" applyFill="1" applyBorder="1"/>
    <xf numFmtId="1" fontId="63" fillId="0" borderId="5" xfId="0" applyNumberFormat="1" applyFont="1" applyFill="1" applyBorder="1" applyAlignment="1">
      <alignment horizontal="right"/>
    </xf>
    <xf numFmtId="0" fontId="63" fillId="0" borderId="5" xfId="0" applyFont="1" applyFill="1" applyBorder="1" applyAlignment="1">
      <alignment horizontal="center"/>
    </xf>
    <xf numFmtId="1" fontId="0" fillId="0" borderId="0" xfId="0" applyNumberFormat="1"/>
    <xf numFmtId="1" fontId="63" fillId="0" borderId="0" xfId="0" applyNumberFormat="1" applyFont="1" applyAlignment="1">
      <alignment horizontal="right"/>
    </xf>
    <xf numFmtId="0" fontId="67" fillId="0" borderId="0" xfId="0" applyFont="1"/>
    <xf numFmtId="0" fontId="68" fillId="0" borderId="0" xfId="0" applyFont="1" applyBorder="1" applyAlignment="1">
      <alignment horizontal="left"/>
    </xf>
    <xf numFmtId="0" fontId="68" fillId="0" borderId="0" xfId="0" applyFont="1" applyBorder="1"/>
    <xf numFmtId="0" fontId="69" fillId="0" borderId="0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70" fillId="0" borderId="0" xfId="0" applyFont="1" applyBorder="1" applyAlignment="1">
      <alignment horizontal="center"/>
    </xf>
    <xf numFmtId="0" fontId="71" fillId="0" borderId="0" xfId="0" applyFont="1" applyBorder="1" applyAlignment="1">
      <alignment horizontal="center"/>
    </xf>
    <xf numFmtId="0" fontId="41" fillId="0" borderId="0" xfId="0" applyFont="1" applyBorder="1" applyAlignment="1">
      <alignment horizontal="center"/>
    </xf>
    <xf numFmtId="0" fontId="72" fillId="0" borderId="0" xfId="0" applyFont="1" applyBorder="1" applyAlignment="1">
      <alignment horizontal="center"/>
    </xf>
    <xf numFmtId="0" fontId="0" fillId="0" borderId="11" xfId="0" applyBorder="1" applyAlignment="1">
      <alignment horizontal="left"/>
    </xf>
    <xf numFmtId="0" fontId="73" fillId="0" borderId="0" xfId="0" applyFont="1"/>
    <xf numFmtId="0" fontId="0" fillId="0" borderId="14" xfId="0" applyBorder="1" applyAlignment="1">
      <alignment horizontal="left"/>
    </xf>
    <xf numFmtId="0" fontId="0" fillId="0" borderId="10" xfId="0" applyBorder="1" applyAlignment="1">
      <alignment horizontal="center"/>
    </xf>
    <xf numFmtId="0" fontId="68" fillId="0" borderId="0" xfId="0" applyFont="1"/>
    <xf numFmtId="0" fontId="68" fillId="0" borderId="0" xfId="0" applyFont="1" applyBorder="1" applyAlignment="1">
      <alignment horizontal="center"/>
    </xf>
    <xf numFmtId="1" fontId="42" fillId="0" borderId="17" xfId="0" applyNumberFormat="1" applyFont="1" applyBorder="1" applyAlignment="1">
      <alignment horizontal="left"/>
    </xf>
    <xf numFmtId="0" fontId="0" fillId="0" borderId="18" xfId="0" applyBorder="1"/>
    <xf numFmtId="0" fontId="0" fillId="0" borderId="19" xfId="0" applyBorder="1"/>
    <xf numFmtId="0" fontId="0" fillId="0" borderId="18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0" xfId="0" applyBorder="1"/>
    <xf numFmtId="0" fontId="0" fillId="0" borderId="21" xfId="0" applyBorder="1" applyAlignment="1">
      <alignment horizontal="center"/>
    </xf>
    <xf numFmtId="1" fontId="43" fillId="0" borderId="0" xfId="0" applyNumberFormat="1" applyFont="1" applyBorder="1" applyAlignment="1">
      <alignment horizontal="center"/>
    </xf>
    <xf numFmtId="1" fontId="35" fillId="0" borderId="0" xfId="0" applyNumberFormat="1" applyFont="1" applyBorder="1" applyAlignment="1">
      <alignment horizontal="right"/>
    </xf>
    <xf numFmtId="1" fontId="42" fillId="0" borderId="22" xfId="0" applyNumberFormat="1" applyFont="1" applyBorder="1" applyAlignment="1">
      <alignment horizontal="center"/>
    </xf>
    <xf numFmtId="0" fontId="68" fillId="0" borderId="0" xfId="0" applyFont="1" applyBorder="1" applyAlignment="1">
      <alignment shrinkToFit="1"/>
    </xf>
    <xf numFmtId="0" fontId="68" fillId="0" borderId="23" xfId="0" applyFont="1" applyBorder="1" applyAlignment="1">
      <alignment horizontal="center"/>
    </xf>
    <xf numFmtId="0" fontId="74" fillId="0" borderId="10" xfId="0" applyFont="1" applyBorder="1" applyAlignment="1">
      <alignment horizontal="center"/>
    </xf>
    <xf numFmtId="1" fontId="0" fillId="0" borderId="0" xfId="0" applyNumberFormat="1" applyBorder="1" applyAlignment="1">
      <alignment horizontal="left"/>
    </xf>
    <xf numFmtId="0" fontId="35" fillId="0" borderId="0" xfId="0" applyFont="1" applyBorder="1" applyAlignment="1">
      <alignment horizontal="right"/>
    </xf>
    <xf numFmtId="1" fontId="0" fillId="0" borderId="24" xfId="0" applyNumberFormat="1" applyBorder="1" applyAlignment="1">
      <alignment horizontal="left"/>
    </xf>
    <xf numFmtId="0" fontId="68" fillId="0" borderId="0" xfId="0" applyFont="1" applyBorder="1" applyAlignment="1">
      <alignment horizontal="center" shrinkToFit="1"/>
    </xf>
    <xf numFmtId="0" fontId="74" fillId="0" borderId="24" xfId="0" applyFont="1" applyBorder="1" applyAlignment="1">
      <alignment shrinkToFit="1"/>
    </xf>
    <xf numFmtId="0" fontId="74" fillId="0" borderId="0" xfId="0" applyFont="1" applyBorder="1" applyAlignment="1">
      <alignment shrinkToFit="1"/>
    </xf>
    <xf numFmtId="0" fontId="74" fillId="0" borderId="23" xfId="0" applyFont="1" applyBorder="1" applyAlignment="1">
      <alignment shrinkToFit="1"/>
    </xf>
    <xf numFmtId="0" fontId="35" fillId="0" borderId="0" xfId="0" applyFont="1" applyBorder="1" applyAlignment="1">
      <alignment horizontal="center"/>
    </xf>
    <xf numFmtId="0" fontId="74" fillId="0" borderId="24" xfId="0" applyFont="1" applyBorder="1"/>
    <xf numFmtId="0" fontId="74" fillId="0" borderId="0" xfId="0" applyFont="1" applyBorder="1"/>
    <xf numFmtId="0" fontId="74" fillId="0" borderId="23" xfId="0" applyFont="1" applyBorder="1"/>
    <xf numFmtId="1" fontId="74" fillId="0" borderId="22" xfId="0" applyNumberFormat="1" applyFont="1" applyBorder="1" applyAlignment="1">
      <alignment horizontal="center"/>
    </xf>
    <xf numFmtId="0" fontId="74" fillId="0" borderId="22" xfId="0" applyFont="1" applyBorder="1" applyAlignment="1">
      <alignment horizontal="center"/>
    </xf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3" xfId="0" applyBorder="1"/>
    <xf numFmtId="0" fontId="0" fillId="0" borderId="28" xfId="0" applyBorder="1" applyAlignment="1">
      <alignment horizontal="center"/>
    </xf>
    <xf numFmtId="0" fontId="74" fillId="0" borderId="0" xfId="0" applyNumberFormat="1" applyFont="1" applyBorder="1" applyAlignment="1">
      <alignment horizontal="left"/>
    </xf>
    <xf numFmtId="0" fontId="68" fillId="0" borderId="29" xfId="0" applyFont="1" applyBorder="1" applyAlignment="1">
      <alignment horizontal="center"/>
    </xf>
    <xf numFmtId="0" fontId="68" fillId="0" borderId="30" xfId="0" applyFont="1" applyBorder="1"/>
    <xf numFmtId="0" fontId="68" fillId="0" borderId="30" xfId="0" applyFont="1" applyBorder="1" applyAlignment="1">
      <alignment horizontal="center"/>
    </xf>
    <xf numFmtId="0" fontId="68" fillId="0" borderId="31" xfId="0" applyFont="1" applyBorder="1"/>
    <xf numFmtId="0" fontId="68" fillId="0" borderId="29" xfId="0" applyFont="1" applyBorder="1" applyAlignment="1">
      <alignment horizontal="centerContinuous"/>
    </xf>
    <xf numFmtId="0" fontId="0" fillId="0" borderId="28" xfId="0" applyBorder="1" applyAlignment="1">
      <alignment horizontal="centerContinuous"/>
    </xf>
    <xf numFmtId="0" fontId="76" fillId="0" borderId="21" xfId="0" applyFont="1" applyBorder="1" applyAlignment="1">
      <alignment horizontal="center"/>
    </xf>
    <xf numFmtId="0" fontId="75" fillId="0" borderId="0" xfId="0" applyFont="1"/>
    <xf numFmtId="0" fontId="73" fillId="0" borderId="0" xfId="0" applyNumberFormat="1" applyFont="1" applyBorder="1" applyAlignment="1">
      <alignment horizontal="left"/>
    </xf>
    <xf numFmtId="0" fontId="77" fillId="0" borderId="10" xfId="0" applyFont="1" applyBorder="1" applyAlignment="1">
      <alignment horizontal="center"/>
    </xf>
    <xf numFmtId="0" fontId="76" fillId="0" borderId="16" xfId="0" applyFont="1" applyBorder="1" applyAlignment="1">
      <alignment horizontal="center"/>
    </xf>
    <xf numFmtId="0" fontId="0" fillId="0" borderId="0" xfId="0" applyBorder="1" applyAlignment="1">
      <alignment horizontal="centerContinuous"/>
    </xf>
    <xf numFmtId="0" fontId="71" fillId="0" borderId="0" xfId="0" applyFont="1" applyBorder="1" applyAlignment="1"/>
    <xf numFmtId="0" fontId="67" fillId="0" borderId="6" xfId="0" applyFont="1" applyBorder="1" applyAlignment="1">
      <alignment horizontal="center"/>
    </xf>
    <xf numFmtId="0" fontId="67" fillId="0" borderId="0" xfId="0" applyFont="1" applyBorder="1" applyAlignment="1">
      <alignment horizontal="center"/>
    </xf>
    <xf numFmtId="0" fontId="68" fillId="0" borderId="10" xfId="0" applyFont="1" applyBorder="1" applyAlignment="1">
      <alignment horizontal="left" shrinkToFit="1"/>
    </xf>
    <xf numFmtId="0" fontId="68" fillId="0" borderId="0" xfId="0" applyFont="1" applyBorder="1" applyAlignment="1">
      <alignment horizontal="left" shrinkToFit="1"/>
    </xf>
    <xf numFmtId="0" fontId="68" fillId="0" borderId="4" xfId="0" applyFont="1" applyBorder="1" applyAlignment="1">
      <alignment horizontal="center" shrinkToFit="1"/>
    </xf>
    <xf numFmtId="0" fontId="68" fillId="0" borderId="10" xfId="0" applyFont="1" applyBorder="1" applyAlignment="1">
      <alignment horizontal="center" shrinkToFit="1"/>
    </xf>
    <xf numFmtId="2" fontId="68" fillId="0" borderId="4" xfId="0" applyNumberFormat="1" applyFont="1" applyBorder="1" applyAlignment="1">
      <alignment horizontal="right"/>
    </xf>
    <xf numFmtId="2" fontId="68" fillId="0" borderId="0" xfId="0" applyNumberFormat="1" applyFont="1" applyBorder="1" applyAlignment="1">
      <alignment horizontal="center"/>
    </xf>
    <xf numFmtId="167" fontId="0" fillId="0" borderId="32" xfId="0" applyNumberFormat="1" applyBorder="1"/>
    <xf numFmtId="0" fontId="68" fillId="0" borderId="4" xfId="0" applyFont="1" applyBorder="1" applyAlignment="1">
      <alignment horizontal="right"/>
    </xf>
    <xf numFmtId="1" fontId="68" fillId="0" borderId="0" xfId="0" applyNumberFormat="1" applyFont="1" applyBorder="1" applyAlignment="1">
      <alignment horizontal="left"/>
    </xf>
    <xf numFmtId="0" fontId="68" fillId="0" borderId="0" xfId="0" applyFont="1" applyBorder="1" applyAlignment="1">
      <alignment horizontal="right"/>
    </xf>
    <xf numFmtId="167" fontId="0" fillId="0" borderId="0" xfId="0" applyNumberFormat="1" applyBorder="1"/>
    <xf numFmtId="0" fontId="0" fillId="0" borderId="32" xfId="0" applyBorder="1"/>
    <xf numFmtId="165" fontId="68" fillId="0" borderId="0" xfId="0" applyNumberFormat="1" applyFont="1" applyBorder="1" applyAlignment="1">
      <alignment horizontal="left"/>
    </xf>
    <xf numFmtId="1" fontId="68" fillId="0" borderId="0" xfId="0" applyNumberFormat="1" applyFont="1" applyBorder="1"/>
    <xf numFmtId="1" fontId="68" fillId="0" borderId="0" xfId="0" applyNumberFormat="1" applyFont="1" applyBorder="1" applyAlignment="1">
      <alignment horizontal="right"/>
    </xf>
    <xf numFmtId="0" fontId="0" fillId="0" borderId="0" xfId="0" applyAlignment="1"/>
    <xf numFmtId="2" fontId="68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1" fontId="68" fillId="0" borderId="4" xfId="0" applyNumberFormat="1" applyFont="1" applyBorder="1" applyAlignment="1">
      <alignment horizontal="right"/>
    </xf>
    <xf numFmtId="0" fontId="68" fillId="0" borderId="10" xfId="0" applyFont="1" applyBorder="1" applyAlignment="1">
      <alignment shrinkToFit="1"/>
    </xf>
    <xf numFmtId="2" fontId="68" fillId="0" borderId="0" xfId="0" applyNumberFormat="1" applyFont="1" applyBorder="1"/>
    <xf numFmtId="2" fontId="68" fillId="0" borderId="0" xfId="0" applyNumberFormat="1" applyFont="1" applyFill="1" applyBorder="1" applyAlignment="1">
      <alignment horizontal="left"/>
    </xf>
    <xf numFmtId="0" fontId="71" fillId="0" borderId="10" xfId="0" applyFont="1" applyBorder="1" applyAlignment="1">
      <alignment horizontal="center"/>
    </xf>
    <xf numFmtId="0" fontId="68" fillId="0" borderId="10" xfId="0" applyFont="1" applyBorder="1"/>
    <xf numFmtId="0" fontId="71" fillId="0" borderId="0" xfId="0" applyFont="1" applyBorder="1" applyAlignment="1">
      <alignment horizontal="left"/>
    </xf>
    <xf numFmtId="167" fontId="71" fillId="0" borderId="0" xfId="0" applyNumberFormat="1" applyFont="1" applyBorder="1"/>
    <xf numFmtId="0" fontId="71" fillId="0" borderId="0" xfId="0" applyFont="1" applyBorder="1" applyAlignment="1">
      <alignment horizontal="left" shrinkToFit="1"/>
    </xf>
    <xf numFmtId="0" fontId="68" fillId="0" borderId="4" xfId="0" applyFont="1" applyBorder="1"/>
    <xf numFmtId="2" fontId="68" fillId="0" borderId="0" xfId="0" applyNumberFormat="1" applyFont="1" applyBorder="1" applyAlignment="1">
      <alignment horizontal="left"/>
    </xf>
    <xf numFmtId="1" fontId="43" fillId="0" borderId="0" xfId="0" applyNumberFormat="1" applyFont="1" applyBorder="1"/>
    <xf numFmtId="167" fontId="70" fillId="0" borderId="0" xfId="0" applyNumberFormat="1" applyFont="1" applyBorder="1"/>
    <xf numFmtId="0" fontId="64" fillId="0" borderId="0" xfId="0" applyFont="1" applyFill="1" applyBorder="1"/>
    <xf numFmtId="17" fontId="0" fillId="0" borderId="0" xfId="0" applyNumberFormat="1"/>
    <xf numFmtId="0" fontId="68" fillId="0" borderId="0" xfId="0" applyFont="1" applyBorder="1" applyAlignment="1"/>
    <xf numFmtId="1" fontId="68" fillId="0" borderId="24" xfId="0" applyNumberFormat="1" applyFont="1" applyBorder="1" applyAlignment="1">
      <alignment horizontal="center"/>
    </xf>
    <xf numFmtId="0" fontId="68" fillId="0" borderId="33" xfId="0" applyFont="1" applyBorder="1" applyAlignment="1">
      <alignment horizontal="center"/>
    </xf>
    <xf numFmtId="0" fontId="68" fillId="0" borderId="4" xfId="0" applyFont="1" applyBorder="1" applyAlignment="1">
      <alignment horizontal="left" shrinkToFit="1"/>
    </xf>
    <xf numFmtId="0" fontId="70" fillId="0" borderId="0" xfId="0" applyFont="1" applyBorder="1" applyAlignment="1">
      <alignment horizontal="left"/>
    </xf>
    <xf numFmtId="0" fontId="63" fillId="0" borderId="11" xfId="0" applyFont="1" applyFill="1" applyBorder="1" applyAlignment="1">
      <alignment horizontal="center"/>
    </xf>
    <xf numFmtId="0" fontId="63" fillId="0" borderId="8" xfId="0" applyFont="1" applyFill="1" applyBorder="1" applyAlignment="1">
      <alignment horizontal="center"/>
    </xf>
    <xf numFmtId="0" fontId="63" fillId="0" borderId="0" xfId="0" applyFont="1" applyFill="1" applyBorder="1" applyAlignment="1">
      <alignment horizontal="center"/>
    </xf>
    <xf numFmtId="0" fontId="63" fillId="0" borderId="2" xfId="0" applyFont="1" applyFill="1" applyBorder="1" applyAlignment="1">
      <alignment horizontal="center"/>
    </xf>
    <xf numFmtId="0" fontId="63" fillId="0" borderId="9" xfId="0" applyFont="1" applyFill="1" applyBorder="1" applyAlignment="1">
      <alignment horizontal="center"/>
    </xf>
    <xf numFmtId="0" fontId="63" fillId="0" borderId="3" xfId="0" applyFont="1" applyFill="1" applyBorder="1" applyAlignment="1">
      <alignment horizontal="center"/>
    </xf>
    <xf numFmtId="0" fontId="0" fillId="6" borderId="2" xfId="0" applyFont="1" applyFill="1" applyBorder="1"/>
    <xf numFmtId="0" fontId="8" fillId="6" borderId="2" xfId="0" applyFont="1" applyFill="1" applyBorder="1" applyAlignment="1">
      <alignment horizontal="center" vertical="top" wrapText="1"/>
    </xf>
    <xf numFmtId="0" fontId="0" fillId="0" borderId="17" xfId="0" applyBorder="1"/>
    <xf numFmtId="1" fontId="68" fillId="0" borderId="22" xfId="0" applyNumberFormat="1" applyFont="1" applyBorder="1" applyAlignment="1">
      <alignment horizontal="center"/>
    </xf>
    <xf numFmtId="0" fontId="0" fillId="0" borderId="22" xfId="0" applyBorder="1"/>
    <xf numFmtId="0" fontId="0" fillId="0" borderId="34" xfId="0" applyBorder="1"/>
    <xf numFmtId="0" fontId="42" fillId="0" borderId="0" xfId="0" applyFont="1" applyBorder="1" applyAlignment="1">
      <alignment horizontal="left"/>
    </xf>
    <xf numFmtId="0" fontId="75" fillId="0" borderId="0" xfId="0" applyFont="1" applyBorder="1" applyAlignment="1"/>
    <xf numFmtId="0" fontId="67" fillId="0" borderId="0" xfId="0" applyFont="1" applyAlignment="1">
      <alignment horizontal="center"/>
    </xf>
    <xf numFmtId="0" fontId="68" fillId="0" borderId="2" xfId="0" applyFont="1" applyBorder="1" applyAlignment="1">
      <alignment horizontal="center" shrinkToFit="1"/>
    </xf>
    <xf numFmtId="174" fontId="68" fillId="0" borderId="4" xfId="17" applyNumberFormat="1" applyFont="1" applyFill="1" applyBorder="1" applyAlignment="1">
      <alignment horizontal="right"/>
    </xf>
    <xf numFmtId="174" fontId="68" fillId="0" borderId="0" xfId="17" applyNumberFormat="1" applyFont="1" applyFill="1" applyBorder="1" applyAlignment="1">
      <alignment horizontal="right"/>
    </xf>
    <xf numFmtId="167" fontId="72" fillId="0" borderId="0" xfId="0" applyNumberFormat="1" applyFont="1" applyBorder="1" applyAlignment="1"/>
    <xf numFmtId="0" fontId="71" fillId="0" borderId="10" xfId="0" applyFont="1" applyBorder="1" applyAlignment="1">
      <alignment horizontal="left" shrinkToFit="1"/>
    </xf>
    <xf numFmtId="174" fontId="71" fillId="0" borderId="0" xfId="0" applyNumberFormat="1" applyFont="1" applyBorder="1"/>
    <xf numFmtId="0" fontId="42" fillId="0" borderId="2" xfId="0" applyFont="1" applyBorder="1" applyAlignment="1">
      <alignment horizontal="center" shrinkToFit="1"/>
    </xf>
    <xf numFmtId="0" fontId="78" fillId="0" borderId="2" xfId="0" applyFont="1" applyBorder="1" applyAlignment="1">
      <alignment horizontal="center"/>
    </xf>
    <xf numFmtId="0" fontId="68" fillId="0" borderId="2" xfId="0" applyFont="1" applyBorder="1" applyAlignment="1">
      <alignment shrinkToFit="1"/>
    </xf>
    <xf numFmtId="0" fontId="68" fillId="0" borderId="4" xfId="0" applyFont="1" applyBorder="1" applyAlignment="1">
      <alignment shrinkToFit="1"/>
    </xf>
    <xf numFmtId="0" fontId="71" fillId="0" borderId="4" xfId="0" applyFont="1" applyBorder="1" applyAlignment="1">
      <alignment horizontal="center"/>
    </xf>
    <xf numFmtId="174" fontId="70" fillId="0" borderId="0" xfId="0" applyNumberFormat="1" applyFont="1" applyBorder="1"/>
    <xf numFmtId="167" fontId="68" fillId="0" borderId="0" xfId="0" applyNumberFormat="1" applyFont="1" applyBorder="1"/>
    <xf numFmtId="0" fontId="71" fillId="0" borderId="0" xfId="0" applyFont="1" applyBorder="1" applyAlignment="1">
      <alignment horizontal="center" shrinkToFit="1"/>
    </xf>
    <xf numFmtId="167" fontId="68" fillId="0" borderId="0" xfId="0" applyNumberFormat="1" applyFont="1" applyBorder="1" applyAlignment="1">
      <alignment horizontal="right"/>
    </xf>
    <xf numFmtId="0" fontId="8" fillId="0" borderId="2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49" fontId="12" fillId="0" borderId="5" xfId="24" applyNumberFormat="1" applyFont="1" applyFill="1" applyBorder="1" applyAlignment="1">
      <alignment horizontal="center" vertical="top" wrapText="1"/>
    </xf>
    <xf numFmtId="0" fontId="12" fillId="0" borderId="5" xfId="24" applyFont="1" applyFill="1" applyBorder="1" applyAlignment="1">
      <alignment vertical="top" wrapText="1"/>
    </xf>
    <xf numFmtId="0" fontId="5" fillId="0" borderId="16" xfId="0" applyFont="1" applyFill="1" applyBorder="1" applyAlignment="1"/>
    <xf numFmtId="0" fontId="5" fillId="0" borderId="0" xfId="27" applyFont="1"/>
    <xf numFmtId="0" fontId="34" fillId="0" borderId="0" xfId="27" applyFont="1"/>
    <xf numFmtId="0" fontId="20" fillId="0" borderId="0" xfId="27" applyFont="1"/>
    <xf numFmtId="0" fontId="10" fillId="0" borderId="0" xfId="27" applyFont="1"/>
    <xf numFmtId="0" fontId="3" fillId="0" borderId="0" xfId="27" applyFont="1"/>
    <xf numFmtId="0" fontId="5" fillId="0" borderId="0" xfId="27" applyFont="1" applyAlignment="1">
      <alignment horizontal="left" wrapText="1"/>
    </xf>
    <xf numFmtId="0" fontId="5" fillId="0" borderId="0" xfId="27" applyFont="1" applyAlignment="1">
      <alignment horizontal="left"/>
    </xf>
    <xf numFmtId="0" fontId="56" fillId="0" borderId="5" xfId="27" applyFont="1" applyBorder="1" applyAlignment="1">
      <alignment horizontal="center" vertical="center" wrapText="1"/>
    </xf>
    <xf numFmtId="0" fontId="56" fillId="0" borderId="12" xfId="27" applyFont="1" applyBorder="1" applyAlignment="1">
      <alignment horizontal="center" vertical="center" wrapText="1"/>
    </xf>
    <xf numFmtId="0" fontId="56" fillId="0" borderId="6" xfId="27" applyFont="1" applyBorder="1" applyAlignment="1">
      <alignment horizontal="center" vertical="center" wrapText="1"/>
    </xf>
    <xf numFmtId="0" fontId="56" fillId="0" borderId="0" xfId="27" applyFont="1" applyAlignment="1">
      <alignment horizontal="center" vertical="center" wrapText="1"/>
    </xf>
    <xf numFmtId="49" fontId="5" fillId="0" borderId="2" xfId="27" applyNumberFormat="1" applyFont="1" applyBorder="1" applyAlignment="1">
      <alignment horizontal="center" vertical="center"/>
    </xf>
    <xf numFmtId="4" fontId="24" fillId="0" borderId="10" xfId="27" applyNumberFormat="1" applyFont="1" applyBorder="1" applyAlignment="1">
      <alignment horizontal="center"/>
    </xf>
    <xf numFmtId="49" fontId="5" fillId="0" borderId="35" xfId="27" applyNumberFormat="1" applyFont="1" applyBorder="1" applyAlignment="1">
      <alignment horizontal="center" vertical="center"/>
    </xf>
    <xf numFmtId="0" fontId="5" fillId="0" borderId="36" xfId="27" applyFont="1" applyBorder="1" applyAlignment="1">
      <alignment horizontal="center" wrapText="1"/>
    </xf>
    <xf numFmtId="0" fontId="5" fillId="0" borderId="35" xfId="27" applyFont="1" applyBorder="1" applyAlignment="1">
      <alignment horizontal="center"/>
    </xf>
    <xf numFmtId="4" fontId="5" fillId="0" borderId="37" xfId="27" applyNumberFormat="1" applyFont="1" applyBorder="1" applyAlignment="1">
      <alignment horizontal="center"/>
    </xf>
    <xf numFmtId="49" fontId="5" fillId="0" borderId="36" xfId="27" applyNumberFormat="1" applyFont="1" applyBorder="1" applyAlignment="1">
      <alignment horizontal="left" vertical="top"/>
    </xf>
    <xf numFmtId="0" fontId="5" fillId="0" borderId="38" xfId="27" applyNumberFormat="1" applyFont="1" applyBorder="1" applyAlignment="1">
      <alignment horizontal="left" vertical="top"/>
    </xf>
    <xf numFmtId="0" fontId="9" fillId="0" borderId="37" xfId="27" applyFont="1" applyBorder="1" applyAlignment="1">
      <alignment horizontal="left" vertical="top" wrapText="1"/>
    </xf>
    <xf numFmtId="49" fontId="5" fillId="0" borderId="35" xfId="27" applyNumberFormat="1" applyFont="1" applyFill="1" applyBorder="1" applyAlignment="1">
      <alignment horizontal="center" vertical="center"/>
    </xf>
    <xf numFmtId="49" fontId="6" fillId="0" borderId="36" xfId="27" applyNumberFormat="1" applyFont="1" applyFill="1" applyBorder="1" applyAlignment="1">
      <alignment horizontal="center" vertical="center"/>
    </xf>
    <xf numFmtId="49" fontId="5" fillId="0" borderId="38" xfId="27" applyNumberFormat="1" applyFont="1" applyFill="1" applyBorder="1" applyAlignment="1">
      <alignment horizontal="left" vertical="center"/>
    </xf>
    <xf numFmtId="166" fontId="6" fillId="0" borderId="37" xfId="27" applyNumberFormat="1" applyFont="1" applyFill="1" applyBorder="1" applyAlignment="1">
      <alignment horizontal="left" vertical="center" wrapText="1"/>
    </xf>
    <xf numFmtId="0" fontId="5" fillId="0" borderId="36" xfId="27" applyFont="1" applyFill="1" applyBorder="1" applyAlignment="1">
      <alignment horizontal="center" wrapText="1"/>
    </xf>
    <xf numFmtId="0" fontId="5" fillId="0" borderId="35" xfId="27" applyFont="1" applyFill="1" applyBorder="1" applyAlignment="1">
      <alignment horizontal="center"/>
    </xf>
    <xf numFmtId="4" fontId="5" fillId="0" borderId="37" xfId="27" applyNumberFormat="1" applyFont="1" applyFill="1" applyBorder="1" applyAlignment="1">
      <alignment horizontal="center"/>
    </xf>
    <xf numFmtId="0" fontId="5" fillId="0" borderId="0" xfId="27" applyFont="1" applyFill="1"/>
    <xf numFmtId="1" fontId="5" fillId="0" borderId="38" xfId="27" applyNumberFormat="1" applyFont="1" applyBorder="1" applyAlignment="1">
      <alignment horizontal="left" vertical="top"/>
    </xf>
    <xf numFmtId="49" fontId="9" fillId="0" borderId="37" xfId="27" applyNumberFormat="1" applyFont="1" applyBorder="1" applyAlignment="1">
      <alignment horizontal="left" vertical="top" wrapText="1"/>
    </xf>
    <xf numFmtId="49" fontId="5" fillId="0" borderId="35" xfId="27" applyNumberFormat="1" applyFont="1" applyBorder="1" applyAlignment="1">
      <alignment horizontal="left" vertical="center"/>
    </xf>
    <xf numFmtId="49" fontId="6" fillId="0" borderId="36" xfId="27" applyNumberFormat="1" applyFont="1" applyBorder="1" applyAlignment="1">
      <alignment horizontal="left" vertical="center"/>
    </xf>
    <xf numFmtId="49" fontId="5" fillId="0" borderId="38" xfId="27" applyNumberFormat="1" applyFont="1" applyBorder="1" applyAlignment="1">
      <alignment horizontal="left" vertical="center"/>
    </xf>
    <xf numFmtId="1" fontId="6" fillId="0" borderId="37" xfId="27" applyNumberFormat="1" applyFont="1" applyBorder="1" applyAlignment="1">
      <alignment horizontal="left" vertical="center" wrapText="1"/>
    </xf>
    <xf numFmtId="2" fontId="24" fillId="0" borderId="35" xfId="27" applyNumberFormat="1" applyFont="1" applyBorder="1" applyAlignment="1">
      <alignment horizontal="center"/>
    </xf>
    <xf numFmtId="0" fontId="6" fillId="0" borderId="35" xfId="27" applyFont="1" applyBorder="1" applyAlignment="1">
      <alignment horizontal="center"/>
    </xf>
    <xf numFmtId="49" fontId="5" fillId="0" borderId="5" xfId="27" applyNumberFormat="1" applyFont="1" applyBorder="1" applyAlignment="1">
      <alignment horizontal="center" vertical="center"/>
    </xf>
    <xf numFmtId="0" fontId="5" fillId="0" borderId="5" xfId="27" applyFont="1" applyBorder="1" applyAlignment="1">
      <alignment horizontal="center" wrapText="1"/>
    </xf>
    <xf numFmtId="0" fontId="6" fillId="0" borderId="5" xfId="27" applyFont="1" applyBorder="1" applyAlignment="1">
      <alignment horizontal="center"/>
    </xf>
    <xf numFmtId="9" fontId="5" fillId="0" borderId="5" xfId="27" applyNumberFormat="1" applyFont="1" applyBorder="1" applyAlignment="1">
      <alignment horizontal="center" wrapText="1"/>
    </xf>
    <xf numFmtId="49" fontId="5" fillId="0" borderId="3" xfId="27" applyNumberFormat="1" applyFont="1" applyBorder="1" applyAlignment="1">
      <alignment horizontal="center" vertical="center"/>
    </xf>
    <xf numFmtId="49" fontId="6" fillId="0" borderId="15" xfId="27" applyNumberFormat="1" applyFont="1" applyBorder="1" applyAlignment="1">
      <alignment horizontal="left"/>
    </xf>
    <xf numFmtId="49" fontId="6" fillId="0" borderId="9" xfId="27" applyNumberFormat="1" applyFont="1" applyBorder="1" applyAlignment="1">
      <alignment horizontal="center"/>
    </xf>
    <xf numFmtId="0" fontId="6" fillId="0" borderId="16" xfId="27" applyFont="1" applyBorder="1" applyAlignment="1">
      <alignment horizontal="left" wrapText="1"/>
    </xf>
    <xf numFmtId="0" fontId="6" fillId="0" borderId="15" xfId="27" applyFont="1" applyBorder="1" applyAlignment="1">
      <alignment horizontal="center" wrapText="1"/>
    </xf>
    <xf numFmtId="0" fontId="6" fillId="0" borderId="3" xfId="27" applyFont="1" applyBorder="1" applyAlignment="1">
      <alignment horizontal="center"/>
    </xf>
    <xf numFmtId="4" fontId="5" fillId="0" borderId="0" xfId="27" applyNumberFormat="1" applyFont="1"/>
    <xf numFmtId="0" fontId="20" fillId="0" borderId="0" xfId="27" applyFont="1" applyAlignment="1">
      <alignment horizontal="left"/>
    </xf>
    <xf numFmtId="0" fontId="17" fillId="0" borderId="0" xfId="27" applyFont="1"/>
    <xf numFmtId="0" fontId="22" fillId="0" borderId="0" xfId="27" applyFont="1" applyAlignment="1">
      <alignment horizontal="left"/>
    </xf>
    <xf numFmtId="0" fontId="60" fillId="0" borderId="0" xfId="27" applyFont="1"/>
    <xf numFmtId="0" fontId="18" fillId="0" borderId="0" xfId="27"/>
    <xf numFmtId="0" fontId="17" fillId="0" borderId="0" xfId="27" applyFont="1" applyAlignment="1">
      <alignment horizontal="right"/>
    </xf>
    <xf numFmtId="166" fontId="90" fillId="0" borderId="3" xfId="0" applyNumberFormat="1" applyFont="1" applyFill="1" applyBorder="1" applyAlignment="1">
      <alignment horizontal="center" vertical="top" wrapText="1"/>
    </xf>
    <xf numFmtId="166" fontId="90" fillId="0" borderId="2" xfId="0" applyNumberFormat="1" applyFont="1" applyFill="1" applyBorder="1" applyAlignment="1">
      <alignment horizontal="center" vertical="top" wrapText="1"/>
    </xf>
    <xf numFmtId="166" fontId="90" fillId="6" borderId="2" xfId="0" applyNumberFormat="1" applyFont="1" applyFill="1" applyBorder="1" applyAlignment="1">
      <alignment horizontal="center" vertical="top" wrapText="1"/>
    </xf>
    <xf numFmtId="165" fontId="90" fillId="6" borderId="2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/>
    <xf numFmtId="0" fontId="5" fillId="0" borderId="15" xfId="0" applyFont="1" applyFill="1" applyBorder="1" applyAlignment="1"/>
    <xf numFmtId="0" fontId="0" fillId="0" borderId="12" xfId="0" applyBorder="1" applyAlignment="1">
      <alignment horizontal="center"/>
    </xf>
    <xf numFmtId="0" fontId="72" fillId="0" borderId="0" xfId="0" applyFont="1" applyAlignment="1">
      <alignment horizontal="center"/>
    </xf>
    <xf numFmtId="0" fontId="8" fillId="6" borderId="8" xfId="0" applyFont="1" applyFill="1" applyBorder="1" applyAlignment="1">
      <alignment vertical="top" wrapText="1"/>
    </xf>
    <xf numFmtId="0" fontId="8" fillId="6" borderId="8" xfId="0" applyFont="1" applyFill="1" applyBorder="1" applyAlignment="1">
      <alignment horizontal="center" vertical="top" wrapText="1"/>
    </xf>
    <xf numFmtId="0" fontId="13" fillId="6" borderId="8" xfId="0" applyFont="1" applyFill="1" applyBorder="1" applyAlignment="1">
      <alignment horizontal="left" vertical="center" wrapText="1"/>
    </xf>
    <xf numFmtId="166" fontId="10" fillId="6" borderId="8" xfId="0" applyNumberFormat="1" applyFont="1" applyFill="1" applyBorder="1" applyAlignment="1">
      <alignment horizontal="center" vertical="top" wrapText="1"/>
    </xf>
    <xf numFmtId="49" fontId="5" fillId="6" borderId="2" xfId="0" applyNumberFormat="1" applyFont="1" applyFill="1" applyBorder="1" applyAlignment="1">
      <alignment vertical="top" wrapText="1"/>
    </xf>
    <xf numFmtId="0" fontId="8" fillId="6" borderId="2" xfId="0" applyFont="1" applyFill="1" applyBorder="1" applyAlignment="1">
      <alignment vertical="top" wrapText="1"/>
    </xf>
    <xf numFmtId="0" fontId="5" fillId="6" borderId="2" xfId="0" applyFont="1" applyFill="1" applyBorder="1" applyAlignment="1">
      <alignment vertical="top" wrapText="1"/>
    </xf>
    <xf numFmtId="0" fontId="13" fillId="6" borderId="2" xfId="0" applyFont="1" applyFill="1" applyBorder="1" applyAlignment="1">
      <alignment horizontal="left" vertical="center" wrapText="1"/>
    </xf>
    <xf numFmtId="166" fontId="10" fillId="6" borderId="2" xfId="0" applyNumberFormat="1" applyFont="1" applyFill="1" applyBorder="1" applyAlignment="1">
      <alignment horizontal="center" vertical="top" wrapText="1"/>
    </xf>
    <xf numFmtId="49" fontId="5" fillId="6" borderId="4" xfId="0" applyNumberFormat="1" applyFont="1" applyFill="1" applyBorder="1" applyAlignment="1">
      <alignment vertical="top" wrapText="1"/>
    </xf>
    <xf numFmtId="0" fontId="5" fillId="6" borderId="10" xfId="0" applyFont="1" applyFill="1" applyBorder="1" applyAlignment="1">
      <alignment vertical="top" wrapText="1"/>
    </xf>
    <xf numFmtId="0" fontId="13" fillId="6" borderId="10" xfId="0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vertical="top" wrapText="1"/>
    </xf>
    <xf numFmtId="166" fontId="10" fillId="6" borderId="3" xfId="0" applyNumberFormat="1" applyFont="1" applyFill="1" applyBorder="1" applyAlignment="1">
      <alignment horizontal="center" vertical="top" wrapText="1"/>
    </xf>
    <xf numFmtId="0" fontId="52" fillId="6" borderId="2" xfId="0" applyFont="1" applyFill="1" applyBorder="1" applyAlignment="1">
      <alignment horizontal="left" vertical="center" wrapText="1"/>
    </xf>
    <xf numFmtId="0" fontId="8" fillId="6" borderId="3" xfId="0" applyFont="1" applyFill="1" applyBorder="1" applyAlignment="1">
      <alignment vertical="top" wrapText="1"/>
    </xf>
    <xf numFmtId="0" fontId="13" fillId="6" borderId="3" xfId="0" applyFont="1" applyFill="1" applyBorder="1" applyAlignment="1">
      <alignment horizontal="left" vertical="center" wrapText="1"/>
    </xf>
    <xf numFmtId="0" fontId="8" fillId="6" borderId="0" xfId="0" applyFont="1" applyFill="1" applyBorder="1" applyAlignment="1">
      <alignment vertical="top" wrapText="1"/>
    </xf>
    <xf numFmtId="0" fontId="0" fillId="0" borderId="39" xfId="0" applyBorder="1"/>
    <xf numFmtId="1" fontId="68" fillId="0" borderId="2" xfId="0" applyNumberFormat="1" applyFont="1" applyBorder="1" applyAlignment="1">
      <alignment horizontal="center" shrinkToFit="1"/>
    </xf>
    <xf numFmtId="0" fontId="35" fillId="0" borderId="0" xfId="0" applyFont="1" applyBorder="1" applyAlignment="1">
      <alignment horizontal="left"/>
    </xf>
    <xf numFmtId="0" fontId="35" fillId="0" borderId="0" xfId="0" applyFont="1" applyBorder="1"/>
    <xf numFmtId="0" fontId="35" fillId="0" borderId="0" xfId="0" applyFont="1" applyBorder="1" applyAlignment="1">
      <alignment shrinkToFit="1"/>
    </xf>
    <xf numFmtId="0" fontId="35" fillId="0" borderId="0" xfId="0" applyFont="1"/>
    <xf numFmtId="1" fontId="68" fillId="0" borderId="0" xfId="0" applyNumberFormat="1" applyFont="1" applyBorder="1" applyAlignment="1">
      <alignment horizontal="center" shrinkToFit="1"/>
    </xf>
    <xf numFmtId="1" fontId="68" fillId="0" borderId="4" xfId="0" applyNumberFormat="1" applyFont="1" applyBorder="1" applyAlignment="1">
      <alignment horizontal="center" shrinkToFit="1"/>
    </xf>
    <xf numFmtId="0" fontId="35" fillId="0" borderId="10" xfId="0" applyFont="1" applyBorder="1" applyAlignment="1">
      <alignment shrinkToFit="1"/>
    </xf>
    <xf numFmtId="0" fontId="35" fillId="0" borderId="10" xfId="0" applyFont="1" applyBorder="1" applyAlignment="1">
      <alignment horizontal="left"/>
    </xf>
    <xf numFmtId="0" fontId="35" fillId="0" borderId="10" xfId="0" applyFont="1" applyBorder="1"/>
    <xf numFmtId="1" fontId="35" fillId="0" borderId="0" xfId="0" applyNumberFormat="1" applyFont="1" applyBorder="1"/>
    <xf numFmtId="168" fontId="68" fillId="0" borderId="0" xfId="0" applyNumberFormat="1" applyFont="1" applyBorder="1" applyAlignment="1">
      <alignment horizontal="left"/>
    </xf>
    <xf numFmtId="0" fontId="35" fillId="0" borderId="4" xfId="0" applyFont="1" applyBorder="1"/>
    <xf numFmtId="0" fontId="35" fillId="0" borderId="0" xfId="0" applyFont="1" applyBorder="1" applyAlignment="1"/>
    <xf numFmtId="0" fontId="63" fillId="0" borderId="14" xfId="0" applyFont="1" applyFill="1" applyBorder="1" applyAlignment="1">
      <alignment horizontal="right"/>
    </xf>
    <xf numFmtId="0" fontId="63" fillId="0" borderId="10" xfId="0" applyFont="1" applyFill="1" applyBorder="1" applyAlignment="1">
      <alignment horizontal="right"/>
    </xf>
    <xf numFmtId="0" fontId="63" fillId="0" borderId="16" xfId="0" applyFont="1" applyFill="1" applyBorder="1" applyAlignment="1">
      <alignment horizontal="right"/>
    </xf>
    <xf numFmtId="0" fontId="64" fillId="0" borderId="11" xfId="0" applyFont="1" applyFill="1" applyBorder="1"/>
    <xf numFmtId="1" fontId="63" fillId="0" borderId="7" xfId="0" applyNumberFormat="1" applyFont="1" applyFill="1" applyBorder="1"/>
    <xf numFmtId="1" fontId="64" fillId="0" borderId="7" xfId="0" applyNumberFormat="1" applyFont="1" applyFill="1" applyBorder="1"/>
    <xf numFmtId="168" fontId="63" fillId="0" borderId="9" xfId="0" applyNumberFormat="1" applyFont="1" applyFill="1" applyBorder="1"/>
    <xf numFmtId="1" fontId="63" fillId="0" borderId="12" xfId="0" applyNumberFormat="1" applyFont="1" applyFill="1" applyBorder="1"/>
    <xf numFmtId="0" fontId="25" fillId="0" borderId="0" xfId="24"/>
    <xf numFmtId="167" fontId="10" fillId="6" borderId="2" xfId="0" applyNumberFormat="1" applyFont="1" applyFill="1" applyBorder="1" applyAlignment="1">
      <alignment horizontal="center" vertical="top" wrapText="1"/>
    </xf>
    <xf numFmtId="0" fontId="18" fillId="0" borderId="5" xfId="0" applyFont="1" applyFill="1" applyBorder="1" applyAlignment="1"/>
    <xf numFmtId="0" fontId="13" fillId="0" borderId="2" xfId="0" applyFont="1" applyFill="1" applyBorder="1" applyAlignment="1">
      <alignment horizontal="left" vertical="top" wrapText="1"/>
    </xf>
    <xf numFmtId="0" fontId="18" fillId="6" borderId="2" xfId="0" applyFont="1" applyFill="1" applyBorder="1" applyAlignment="1">
      <alignment horizontal="left" vertical="top" wrapText="1"/>
    </xf>
    <xf numFmtId="0" fontId="8" fillId="0" borderId="15" xfId="0" applyFont="1" applyFill="1" applyBorder="1" applyAlignment="1">
      <alignment horizontal="left" vertical="top" wrapText="1"/>
    </xf>
    <xf numFmtId="0" fontId="13" fillId="0" borderId="14" xfId="0" applyFont="1" applyFill="1" applyBorder="1" applyAlignment="1">
      <alignment vertical="top" wrapText="1"/>
    </xf>
    <xf numFmtId="0" fontId="8" fillId="0" borderId="13" xfId="0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8" fillId="6" borderId="8" xfId="0" applyFont="1" applyFill="1" applyBorder="1" applyAlignment="1"/>
    <xf numFmtId="49" fontId="17" fillId="6" borderId="0" xfId="0" applyNumberFormat="1" applyFont="1" applyFill="1" applyBorder="1" applyAlignment="1">
      <alignment horizontal="right"/>
    </xf>
    <xf numFmtId="4" fontId="0" fillId="0" borderId="0" xfId="0" applyNumberFormat="1"/>
    <xf numFmtId="0" fontId="13" fillId="6" borderId="14" xfId="0" applyFont="1" applyFill="1" applyBorder="1" applyAlignment="1">
      <alignment vertical="top" wrapText="1"/>
    </xf>
    <xf numFmtId="0" fontId="4" fillId="6" borderId="2" xfId="0" applyFont="1" applyFill="1" applyBorder="1" applyAlignment="1">
      <alignment horizontal="left" vertical="top" wrapText="1"/>
    </xf>
    <xf numFmtId="0" fontId="13" fillId="6" borderId="10" xfId="0" applyFont="1" applyFill="1" applyBorder="1" applyAlignment="1">
      <alignment vertical="top" wrapText="1"/>
    </xf>
    <xf numFmtId="0" fontId="8" fillId="6" borderId="5" xfId="0" applyFont="1" applyFill="1" applyBorder="1" applyAlignment="1">
      <alignment horizontal="center" vertical="top" wrapText="1"/>
    </xf>
    <xf numFmtId="0" fontId="8" fillId="6" borderId="7" xfId="0" applyFont="1" applyFill="1" applyBorder="1" applyAlignment="1">
      <alignment horizontal="center" vertical="top" wrapText="1"/>
    </xf>
    <xf numFmtId="0" fontId="8" fillId="6" borderId="6" xfId="0" applyFont="1" applyFill="1" applyBorder="1" applyAlignment="1">
      <alignment horizontal="center" vertical="top" wrapText="1"/>
    </xf>
    <xf numFmtId="0" fontId="5" fillId="6" borderId="5" xfId="0" applyFont="1" applyFill="1" applyBorder="1" applyAlignment="1">
      <alignment horizontal="center" vertical="top" wrapText="1"/>
    </xf>
    <xf numFmtId="165" fontId="5" fillId="6" borderId="6" xfId="0" applyNumberFormat="1" applyFont="1" applyFill="1" applyBorder="1" applyAlignment="1">
      <alignment horizontal="center" vertical="top" wrapText="1"/>
    </xf>
    <xf numFmtId="0" fontId="18" fillId="6" borderId="5" xfId="0" applyFont="1" applyFill="1" applyBorder="1" applyAlignment="1">
      <alignment horizontal="center" vertical="center" wrapText="1"/>
    </xf>
    <xf numFmtId="0" fontId="18" fillId="6" borderId="7" xfId="0" applyFont="1" applyFill="1" applyBorder="1" applyAlignment="1">
      <alignment horizontal="center" vertical="center" wrapText="1"/>
    </xf>
    <xf numFmtId="0" fontId="18" fillId="6" borderId="5" xfId="0" applyFont="1" applyFill="1" applyBorder="1" applyAlignment="1">
      <alignment horizontal="center" vertical="top" wrapText="1"/>
    </xf>
    <xf numFmtId="0" fontId="18" fillId="6" borderId="6" xfId="0" applyFont="1" applyFill="1" applyBorder="1" applyAlignment="1">
      <alignment horizontal="center" vertical="top" wrapText="1"/>
    </xf>
    <xf numFmtId="1" fontId="18" fillId="6" borderId="6" xfId="0" applyNumberFormat="1" applyFont="1" applyFill="1" applyBorder="1" applyAlignment="1">
      <alignment horizontal="center" vertical="top" wrapText="1"/>
    </xf>
    <xf numFmtId="0" fontId="18" fillId="6" borderId="4" xfId="0" applyFont="1" applyFill="1" applyBorder="1" applyAlignment="1">
      <alignment horizontal="justify" vertical="top"/>
    </xf>
    <xf numFmtId="0" fontId="18" fillId="6" borderId="10" xfId="0" applyFont="1" applyFill="1" applyBorder="1" applyAlignment="1">
      <alignment horizontal="center" vertical="top" wrapText="1"/>
    </xf>
    <xf numFmtId="0" fontId="13" fillId="6" borderId="8" xfId="0" applyFont="1" applyFill="1" applyBorder="1" applyAlignment="1">
      <alignment vertical="top" wrapText="1"/>
    </xf>
    <xf numFmtId="166" fontId="19" fillId="6" borderId="10" xfId="0" applyNumberFormat="1" applyFont="1" applyFill="1" applyBorder="1" applyAlignment="1">
      <alignment horizontal="center" vertical="top" wrapText="1"/>
    </xf>
    <xf numFmtId="166" fontId="8" fillId="6" borderId="10" xfId="0" applyNumberFormat="1" applyFont="1" applyFill="1" applyBorder="1" applyAlignment="1">
      <alignment vertical="top" wrapText="1"/>
    </xf>
    <xf numFmtId="0" fontId="8" fillId="6" borderId="0" xfId="0" applyFont="1" applyFill="1" applyBorder="1"/>
    <xf numFmtId="49" fontId="18" fillId="6" borderId="0" xfId="0" applyNumberFormat="1" applyFont="1" applyFill="1" applyBorder="1"/>
    <xf numFmtId="166" fontId="0" fillId="6" borderId="10" xfId="0" applyNumberFormat="1" applyFill="1" applyBorder="1"/>
    <xf numFmtId="49" fontId="81" fillId="6" borderId="0" xfId="0" applyNumberFormat="1" applyFont="1" applyFill="1" applyBorder="1" applyAlignment="1"/>
    <xf numFmtId="0" fontId="16" fillId="6" borderId="2" xfId="0" applyFont="1" applyFill="1" applyBorder="1"/>
    <xf numFmtId="166" fontId="13" fillId="6" borderId="10" xfId="0" applyNumberFormat="1" applyFont="1" applyFill="1" applyBorder="1" applyAlignment="1">
      <alignment vertical="top" wrapText="1"/>
    </xf>
    <xf numFmtId="49" fontId="81" fillId="6" borderId="0" xfId="0" applyNumberFormat="1" applyFont="1" applyFill="1" applyBorder="1" applyAlignment="1">
      <alignment vertical="top" wrapText="1"/>
    </xf>
    <xf numFmtId="49" fontId="8" fillId="6" borderId="2" xfId="0" applyNumberFormat="1" applyFont="1" applyFill="1" applyBorder="1" applyAlignment="1">
      <alignment horizontal="center" vertical="top" wrapText="1"/>
    </xf>
    <xf numFmtId="49" fontId="8" fillId="6" borderId="2" xfId="0" applyNumberFormat="1" applyFont="1" applyFill="1" applyBorder="1" applyAlignment="1">
      <alignment horizontal="left" vertical="top" wrapText="1"/>
    </xf>
    <xf numFmtId="49" fontId="26" fillId="6" borderId="3" xfId="0" applyNumberFormat="1" applyFont="1" applyFill="1" applyBorder="1" applyAlignment="1">
      <alignment vertical="top" wrapText="1"/>
    </xf>
    <xf numFmtId="49" fontId="26" fillId="6" borderId="5" xfId="0" applyNumberFormat="1" applyFont="1" applyFill="1" applyBorder="1" applyAlignment="1">
      <alignment vertical="top" wrapText="1"/>
    </xf>
    <xf numFmtId="49" fontId="26" fillId="6" borderId="7" xfId="0" applyNumberFormat="1" applyFont="1" applyFill="1" applyBorder="1" applyAlignment="1">
      <alignment vertical="top" wrapText="1"/>
    </xf>
    <xf numFmtId="0" fontId="8" fillId="6" borderId="6" xfId="0" applyFont="1" applyFill="1" applyBorder="1" applyAlignment="1">
      <alignment vertical="top" wrapText="1"/>
    </xf>
    <xf numFmtId="0" fontId="0" fillId="6" borderId="0" xfId="0" applyFill="1" applyBorder="1"/>
    <xf numFmtId="166" fontId="19" fillId="6" borderId="5" xfId="0" applyNumberFormat="1" applyFont="1" applyFill="1" applyBorder="1" applyAlignment="1">
      <alignment horizontal="center" vertical="top" wrapText="1"/>
    </xf>
    <xf numFmtId="165" fontId="10" fillId="6" borderId="2" xfId="0" applyNumberFormat="1" applyFont="1" applyFill="1" applyBorder="1" applyAlignment="1">
      <alignment horizontal="center" vertical="top" wrapText="1"/>
    </xf>
    <xf numFmtId="0" fontId="13" fillId="0" borderId="11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 wrapText="1"/>
    </xf>
    <xf numFmtId="49" fontId="8" fillId="0" borderId="0" xfId="0" applyNumberFormat="1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center" vertical="top"/>
    </xf>
    <xf numFmtId="49" fontId="8" fillId="0" borderId="8" xfId="0" applyNumberFormat="1" applyFont="1" applyFill="1" applyBorder="1" applyAlignment="1">
      <alignment horizontal="left" vertical="top" wrapText="1"/>
    </xf>
    <xf numFmtId="0" fontId="18" fillId="6" borderId="3" xfId="0" applyFont="1" applyFill="1" applyBorder="1" applyAlignment="1">
      <alignment horizontal="left" vertical="top" wrapText="1"/>
    </xf>
    <xf numFmtId="0" fontId="19" fillId="0" borderId="9" xfId="0" applyFont="1" applyFill="1" applyBorder="1" applyAlignment="1">
      <alignment horizontal="right" vertical="top" wrapText="1"/>
    </xf>
    <xf numFmtId="0" fontId="8" fillId="6" borderId="2" xfId="0" applyFont="1" applyFill="1" applyBorder="1" applyAlignment="1">
      <alignment horizontal="left" vertical="top" wrapText="1"/>
    </xf>
    <xf numFmtId="0" fontId="18" fillId="6" borderId="2" xfId="0" applyFont="1" applyFill="1" applyBorder="1" applyAlignment="1">
      <alignment horizontal="center" vertical="top" wrapText="1"/>
    </xf>
    <xf numFmtId="174" fontId="72" fillId="0" borderId="0" xfId="17" applyNumberFormat="1" applyFont="1" applyFill="1" applyBorder="1" applyAlignment="1"/>
    <xf numFmtId="0" fontId="68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2" fontId="68" fillId="0" borderId="0" xfId="0" applyNumberFormat="1" applyFont="1" applyBorder="1" applyAlignment="1">
      <alignment horizontal="center" shrinkToFit="1"/>
    </xf>
    <xf numFmtId="49" fontId="8" fillId="0" borderId="8" xfId="0" applyNumberFormat="1" applyFont="1" applyFill="1" applyBorder="1" applyAlignment="1">
      <alignment vertical="top" wrapText="1"/>
    </xf>
    <xf numFmtId="0" fontId="18" fillId="0" borderId="2" xfId="0" applyFont="1" applyFill="1" applyBorder="1" applyAlignment="1">
      <alignment horizontal="center"/>
    </xf>
    <xf numFmtId="0" fontId="18" fillId="0" borderId="4" xfId="0" applyFont="1" applyFill="1" applyBorder="1" applyAlignment="1"/>
    <xf numFmtId="0" fontId="18" fillId="0" borderId="10" xfId="0" applyFont="1" applyFill="1" applyBorder="1" applyAlignment="1">
      <alignment horizontal="center"/>
    </xf>
    <xf numFmtId="0" fontId="8" fillId="0" borderId="10" xfId="0" applyFont="1" applyFill="1" applyBorder="1" applyAlignment="1"/>
    <xf numFmtId="49" fontId="8" fillId="0" borderId="4" xfId="0" applyNumberFormat="1" applyFont="1" applyFill="1" applyBorder="1" applyAlignment="1">
      <alignment vertical="top" wrapText="1"/>
    </xf>
    <xf numFmtId="0" fontId="0" fillId="0" borderId="2" xfId="0" applyFont="1" applyFill="1" applyBorder="1"/>
    <xf numFmtId="0" fontId="91" fillId="0" borderId="5" xfId="0" applyFont="1" applyFill="1" applyBorder="1" applyAlignment="1">
      <alignment horizontal="center" vertical="top" wrapText="1"/>
    </xf>
    <xf numFmtId="4" fontId="19" fillId="6" borderId="16" xfId="24" applyNumberFormat="1" applyFont="1" applyFill="1" applyBorder="1" applyAlignment="1">
      <alignment horizontal="right" vertical="top" wrapText="1"/>
    </xf>
    <xf numFmtId="1" fontId="6" fillId="0" borderId="37" xfId="27" applyNumberFormat="1" applyFont="1" applyBorder="1" applyAlignment="1">
      <alignment horizontal="center"/>
    </xf>
    <xf numFmtId="1" fontId="6" fillId="0" borderId="5" xfId="27" applyNumberFormat="1" applyFont="1" applyBorder="1" applyAlignment="1">
      <alignment horizontal="center"/>
    </xf>
    <xf numFmtId="1" fontId="6" fillId="0" borderId="16" xfId="27" applyNumberFormat="1" applyFont="1" applyBorder="1" applyAlignment="1">
      <alignment horizontal="center"/>
    </xf>
    <xf numFmtId="16" fontId="8" fillId="0" borderId="8" xfId="0" applyNumberFormat="1" applyFont="1" applyFill="1" applyBorder="1" applyAlignment="1">
      <alignment horizontal="center" vertical="top" wrapText="1"/>
    </xf>
    <xf numFmtId="0" fontId="18" fillId="0" borderId="8" xfId="0" applyFont="1" applyFill="1" applyBorder="1" applyAlignment="1">
      <alignment horizontal="center"/>
    </xf>
    <xf numFmtId="166" fontId="10" fillId="6" borderId="8" xfId="0" applyNumberFormat="1" applyFont="1" applyFill="1" applyBorder="1" applyAlignment="1">
      <alignment horizontal="center" vertical="top"/>
    </xf>
    <xf numFmtId="0" fontId="87" fillId="0" borderId="0" xfId="0" applyFont="1" applyFill="1"/>
    <xf numFmtId="0" fontId="5" fillId="0" borderId="2" xfId="0" applyNumberFormat="1" applyFont="1" applyFill="1" applyBorder="1" applyAlignment="1">
      <alignment vertical="top" wrapText="1"/>
    </xf>
    <xf numFmtId="0" fontId="45" fillId="0" borderId="2" xfId="0" applyFont="1" applyFill="1" applyBorder="1" applyAlignment="1">
      <alignment horizontal="left"/>
    </xf>
    <xf numFmtId="166" fontId="10" fillId="6" borderId="2" xfId="0" applyNumberFormat="1" applyFont="1" applyFill="1" applyBorder="1" applyAlignment="1">
      <alignment horizontal="center" vertical="top"/>
    </xf>
    <xf numFmtId="49" fontId="18" fillId="6" borderId="2" xfId="0" applyNumberFormat="1" applyFont="1" applyFill="1" applyBorder="1" applyAlignment="1">
      <alignment horizontal="center" vertical="top" wrapText="1"/>
    </xf>
    <xf numFmtId="0" fontId="21" fillId="6" borderId="2" xfId="0" applyFont="1" applyFill="1" applyBorder="1" applyAlignment="1">
      <alignment horizontal="left" vertical="center" wrapText="1"/>
    </xf>
    <xf numFmtId="0" fontId="18" fillId="6" borderId="8" xfId="0" applyFont="1" applyFill="1" applyBorder="1" applyAlignment="1">
      <alignment horizontal="left" vertical="top" wrapText="1"/>
    </xf>
    <xf numFmtId="166" fontId="19" fillId="6" borderId="2" xfId="0" applyNumberFormat="1" applyFont="1" applyFill="1" applyBorder="1" applyAlignment="1">
      <alignment horizontal="center" vertical="top" wrapText="1"/>
    </xf>
    <xf numFmtId="0" fontId="21" fillId="6" borderId="3" xfId="0" applyFont="1" applyFill="1" applyBorder="1" applyAlignment="1">
      <alignment horizontal="left" vertical="center" wrapText="1"/>
    </xf>
    <xf numFmtId="166" fontId="19" fillId="6" borderId="3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49" fontId="8" fillId="0" borderId="9" xfId="0" applyNumberFormat="1" applyFont="1" applyFill="1" applyBorder="1" applyAlignment="1">
      <alignment horizontal="left" vertical="top" wrapText="1"/>
    </xf>
    <xf numFmtId="0" fontId="18" fillId="0" borderId="9" xfId="0" applyFont="1" applyFill="1" applyBorder="1" applyAlignment="1">
      <alignment horizontal="center" vertical="top"/>
    </xf>
    <xf numFmtId="0" fontId="8" fillId="0" borderId="9" xfId="0" applyFont="1" applyFill="1" applyBorder="1" applyAlignment="1">
      <alignment horizontal="left" vertical="top" wrapText="1"/>
    </xf>
    <xf numFmtId="0" fontId="19" fillId="0" borderId="7" xfId="0" applyFont="1" applyFill="1" applyBorder="1" applyAlignment="1">
      <alignment horizontal="right" vertical="center" wrapText="1"/>
    </xf>
    <xf numFmtId="166" fontId="19" fillId="0" borderId="5" xfId="0" applyNumberFormat="1" applyFont="1" applyFill="1" applyBorder="1" applyAlignment="1">
      <alignment horizontal="center" vertical="center"/>
    </xf>
    <xf numFmtId="0" fontId="88" fillId="0" borderId="0" xfId="0" applyFont="1" applyFill="1" applyBorder="1"/>
    <xf numFmtId="4" fontId="3" fillId="0" borderId="5" xfId="24" applyNumberFormat="1" applyFont="1" applyFill="1" applyBorder="1" applyAlignment="1">
      <alignment horizontal="right" vertical="top" wrapText="1"/>
    </xf>
    <xf numFmtId="49" fontId="92" fillId="0" borderId="0" xfId="0" applyNumberFormat="1" applyFont="1" applyFill="1" applyBorder="1"/>
    <xf numFmtId="0" fontId="92" fillId="0" borderId="0" xfId="0" applyFont="1" applyFill="1" applyBorder="1"/>
    <xf numFmtId="0" fontId="92" fillId="0" borderId="0" xfId="0" applyFont="1" applyFill="1" applyBorder="1" applyAlignment="1">
      <alignment horizontal="left" vertical="center"/>
    </xf>
    <xf numFmtId="0" fontId="88" fillId="0" borderId="0" xfId="0" applyFont="1" applyFill="1" applyBorder="1" applyAlignment="1">
      <alignment horizontal="right"/>
    </xf>
    <xf numFmtId="0" fontId="88" fillId="0" borderId="0" xfId="0" applyFont="1" applyFill="1" applyBorder="1" applyAlignment="1">
      <alignment horizontal="left"/>
    </xf>
    <xf numFmtId="0" fontId="92" fillId="0" borderId="0" xfId="0" applyFont="1" applyFill="1" applyBorder="1" applyAlignment="1">
      <alignment horizontal="right"/>
    </xf>
    <xf numFmtId="0" fontId="92" fillId="0" borderId="0" xfId="0" applyFont="1" applyFill="1" applyBorder="1" applyAlignment="1">
      <alignment horizontal="center"/>
    </xf>
    <xf numFmtId="0" fontId="92" fillId="0" borderId="0" xfId="0" applyFont="1" applyBorder="1" applyAlignment="1"/>
    <xf numFmtId="0" fontId="92" fillId="0" borderId="0" xfId="0" applyFont="1" applyBorder="1" applyAlignment="1">
      <alignment horizontal="center"/>
    </xf>
    <xf numFmtId="0" fontId="92" fillId="0" borderId="0" xfId="0" applyFont="1" applyFill="1" applyBorder="1" applyAlignment="1">
      <alignment horizontal="left"/>
    </xf>
    <xf numFmtId="0" fontId="92" fillId="0" borderId="0" xfId="0" applyFont="1" applyBorder="1" applyAlignment="1">
      <alignment horizontal="left"/>
    </xf>
    <xf numFmtId="0" fontId="92" fillId="0" borderId="0" xfId="0" applyFont="1" applyBorder="1" applyAlignment="1">
      <alignment horizontal="right"/>
    </xf>
    <xf numFmtId="0" fontId="18" fillId="0" borderId="9" xfId="24" applyFont="1" applyFill="1" applyBorder="1" applyAlignment="1">
      <alignment horizontal="left" vertical="top" wrapText="1"/>
    </xf>
    <xf numFmtId="49" fontId="18" fillId="0" borderId="3" xfId="24" applyNumberFormat="1" applyFont="1" applyFill="1" applyBorder="1" applyAlignment="1">
      <alignment horizontal="center" vertical="top" wrapText="1"/>
    </xf>
    <xf numFmtId="0" fontId="92" fillId="0" borderId="0" xfId="0" applyFont="1" applyBorder="1" applyAlignment="1">
      <alignment horizontal="left"/>
    </xf>
    <xf numFmtId="0" fontId="3" fillId="6" borderId="0" xfId="0" applyFont="1" applyFill="1" applyAlignment="1">
      <alignment horizontal="center"/>
    </xf>
    <xf numFmtId="1" fontId="3" fillId="6" borderId="0" xfId="0" applyNumberFormat="1" applyFont="1" applyFill="1" applyBorder="1" applyAlignment="1">
      <alignment wrapText="1"/>
    </xf>
    <xf numFmtId="49" fontId="93" fillId="0" borderId="0" xfId="0" applyNumberFormat="1" applyFont="1" applyFill="1" applyBorder="1"/>
    <xf numFmtId="0" fontId="93" fillId="0" borderId="0" xfId="0" applyFont="1" applyFill="1" applyBorder="1"/>
    <xf numFmtId="0" fontId="93" fillId="0" borderId="0" xfId="0" applyFont="1" applyFill="1" applyBorder="1" applyAlignment="1">
      <alignment horizontal="left" vertical="center"/>
    </xf>
    <xf numFmtId="0" fontId="94" fillId="0" borderId="0" xfId="0" applyFont="1" applyFill="1" applyBorder="1" applyAlignment="1">
      <alignment horizontal="right"/>
    </xf>
    <xf numFmtId="0" fontId="93" fillId="0" borderId="0" xfId="0" applyFont="1" applyFill="1" applyBorder="1" applyAlignment="1">
      <alignment horizontal="center"/>
    </xf>
    <xf numFmtId="0" fontId="93" fillId="0" borderId="0" xfId="0" applyFont="1" applyBorder="1" applyAlignment="1"/>
    <xf numFmtId="0" fontId="93" fillId="0" borderId="0" xfId="0" applyFont="1" applyFill="1" applyBorder="1" applyAlignment="1">
      <alignment horizontal="right"/>
    </xf>
    <xf numFmtId="0" fontId="95" fillId="6" borderId="0" xfId="32" applyFont="1" applyFill="1" applyAlignment="1">
      <alignment horizontal="left"/>
    </xf>
    <xf numFmtId="0" fontId="95" fillId="6" borderId="0" xfId="32" applyFont="1" applyFill="1"/>
    <xf numFmtId="0" fontId="95" fillId="6" borderId="0" xfId="32" applyFont="1" applyFill="1" applyAlignment="1">
      <alignment horizontal="right"/>
    </xf>
    <xf numFmtId="49" fontId="93" fillId="8" borderId="0" xfId="0" applyNumberFormat="1" applyFont="1" applyFill="1" applyBorder="1"/>
    <xf numFmtId="0" fontId="93" fillId="8" borderId="0" xfId="0" applyFont="1" applyFill="1" applyBorder="1"/>
    <xf numFmtId="0" fontId="93" fillId="0" borderId="0" xfId="0" applyFont="1" applyFill="1" applyBorder="1" applyAlignment="1">
      <alignment horizontal="left"/>
    </xf>
    <xf numFmtId="0" fontId="18" fillId="0" borderId="12" xfId="24" applyFont="1" applyFill="1" applyBorder="1" applyAlignment="1">
      <alignment vertical="top" wrapText="1"/>
    </xf>
    <xf numFmtId="0" fontId="18" fillId="0" borderId="12" xfId="24" applyFont="1" applyFill="1" applyBorder="1" applyAlignment="1">
      <alignment horizontal="left" vertical="top" wrapText="1"/>
    </xf>
    <xf numFmtId="2" fontId="18" fillId="0" borderId="12" xfId="24" applyNumberFormat="1" applyFont="1" applyFill="1" applyBorder="1" applyAlignment="1">
      <alignment vertical="top" wrapText="1"/>
    </xf>
    <xf numFmtId="0" fontId="64" fillId="0" borderId="11" xfId="0" applyFont="1" applyFill="1" applyBorder="1" applyAlignment="1">
      <alignment wrapText="1"/>
    </xf>
    <xf numFmtId="49" fontId="8" fillId="6" borderId="8" xfId="0" applyNumberFormat="1" applyFont="1" applyFill="1" applyBorder="1" applyAlignment="1">
      <alignment horizontal="center" vertical="top" wrapText="1"/>
    </xf>
    <xf numFmtId="49" fontId="8" fillId="6" borderId="2" xfId="0" applyNumberFormat="1" applyFont="1" applyFill="1" applyBorder="1" applyAlignment="1">
      <alignment horizontal="center" vertical="top" wrapText="1"/>
    </xf>
    <xf numFmtId="49" fontId="8" fillId="6" borderId="3" xfId="0" applyNumberFormat="1" applyFont="1" applyFill="1" applyBorder="1" applyAlignment="1">
      <alignment horizontal="center" vertical="top" wrapText="1"/>
    </xf>
    <xf numFmtId="0" fontId="35" fillId="0" borderId="0" xfId="0" applyFont="1" applyAlignment="1">
      <alignment horizontal="left"/>
    </xf>
    <xf numFmtId="0" fontId="0" fillId="0" borderId="1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2" xfId="0" applyBorder="1"/>
    <xf numFmtId="0" fontId="0" fillId="0" borderId="7" xfId="0" applyBorder="1"/>
    <xf numFmtId="0" fontId="0" fillId="0" borderId="6" xfId="0" applyBorder="1"/>
    <xf numFmtId="0" fontId="0" fillId="0" borderId="13" xfId="0" applyFont="1" applyBorder="1"/>
    <xf numFmtId="0" fontId="87" fillId="0" borderId="0" xfId="0" applyFont="1"/>
    <xf numFmtId="0" fontId="0" fillId="0" borderId="10" xfId="0" applyFont="1" applyBorder="1"/>
    <xf numFmtId="0" fontId="63" fillId="0" borderId="4" xfId="0" applyFont="1" applyFill="1" applyBorder="1" applyAlignment="1">
      <alignment horizontal="center"/>
    </xf>
    <xf numFmtId="0" fontId="0" fillId="0" borderId="2" xfId="0" applyFont="1" applyBorder="1"/>
    <xf numFmtId="0" fontId="96" fillId="0" borderId="4" xfId="0" applyFont="1" applyFill="1" applyBorder="1"/>
    <xf numFmtId="0" fontId="97" fillId="0" borderId="0" xfId="0" applyFont="1" applyFill="1" applyBorder="1" applyAlignment="1">
      <alignment horizontal="right"/>
    </xf>
    <xf numFmtId="0" fontId="63" fillId="0" borderId="15" xfId="0" applyFont="1" applyFill="1" applyBorder="1" applyAlignment="1">
      <alignment horizontal="center"/>
    </xf>
    <xf numFmtId="0" fontId="64" fillId="0" borderId="8" xfId="0" applyFont="1" applyFill="1" applyBorder="1" applyAlignment="1">
      <alignment wrapText="1"/>
    </xf>
    <xf numFmtId="1" fontId="63" fillId="0" borderId="10" xfId="0" applyNumberFormat="1" applyFont="1" applyFill="1" applyBorder="1"/>
    <xf numFmtId="1" fontId="63" fillId="0" borderId="16" xfId="0" applyNumberFormat="1" applyFont="1" applyFill="1" applyBorder="1"/>
    <xf numFmtId="0" fontId="87" fillId="0" borderId="10" xfId="0" applyFont="1" applyBorder="1"/>
    <xf numFmtId="0" fontId="87" fillId="0" borderId="2" xfId="0" applyFont="1" applyBorder="1"/>
    <xf numFmtId="0" fontId="97" fillId="0" borderId="0" xfId="0" applyFont="1" applyFill="1" applyBorder="1"/>
    <xf numFmtId="0" fontId="66" fillId="0" borderId="11" xfId="0" applyFont="1" applyBorder="1"/>
    <xf numFmtId="0" fontId="64" fillId="0" borderId="9" xfId="0" applyFont="1" applyFill="1" applyBorder="1"/>
    <xf numFmtId="0" fontId="0" fillId="0" borderId="4" xfId="0" applyFont="1" applyBorder="1"/>
    <xf numFmtId="0" fontId="0" fillId="0" borderId="0" xfId="0" applyFont="1" applyBorder="1"/>
    <xf numFmtId="0" fontId="63" fillId="0" borderId="3" xfId="0" applyFont="1" applyFill="1" applyBorder="1"/>
    <xf numFmtId="0" fontId="63" fillId="0" borderId="5" xfId="0" applyFont="1" applyFill="1" applyBorder="1"/>
    <xf numFmtId="0" fontId="64" fillId="0" borderId="7" xfId="0" applyFont="1" applyFill="1" applyBorder="1" applyAlignment="1">
      <alignment horizontal="center" wrapText="1"/>
    </xf>
    <xf numFmtId="0" fontId="64" fillId="0" borderId="7" xfId="0" applyFont="1" applyFill="1" applyBorder="1"/>
    <xf numFmtId="0" fontId="63" fillId="9" borderId="5" xfId="0" applyFont="1" applyFill="1" applyBorder="1" applyAlignment="1">
      <alignment horizontal="center"/>
    </xf>
    <xf numFmtId="0" fontId="64" fillId="0" borderId="0" xfId="0" applyFont="1"/>
    <xf numFmtId="0" fontId="8" fillId="6" borderId="12" xfId="0" applyFont="1" applyFill="1" applyBorder="1" applyAlignment="1">
      <alignment vertical="top" wrapText="1"/>
    </xf>
    <xf numFmtId="49" fontId="5" fillId="6" borderId="5" xfId="0" applyNumberFormat="1" applyFont="1" applyFill="1" applyBorder="1" applyAlignment="1">
      <alignment horizontal="center" vertical="top" wrapText="1"/>
    </xf>
    <xf numFmtId="4" fontId="22" fillId="6" borderId="5" xfId="0" applyNumberFormat="1" applyFont="1" applyFill="1" applyBorder="1" applyAlignment="1">
      <alignment horizontal="center" vertical="top" wrapText="1"/>
    </xf>
    <xf numFmtId="1" fontId="5" fillId="6" borderId="5" xfId="0" applyNumberFormat="1" applyFont="1" applyFill="1" applyBorder="1" applyAlignment="1">
      <alignment horizontal="center" vertical="top" wrapText="1"/>
    </xf>
    <xf numFmtId="1" fontId="5" fillId="6" borderId="5" xfId="0" applyNumberFormat="1" applyFont="1" applyFill="1" applyBorder="1" applyAlignment="1">
      <alignment horizontal="center" vertical="center" wrapText="1"/>
    </xf>
    <xf numFmtId="49" fontId="20" fillId="6" borderId="8" xfId="0" applyNumberFormat="1" applyFont="1" applyFill="1" applyBorder="1" applyAlignment="1">
      <alignment horizontal="center" vertical="top" wrapText="1"/>
    </xf>
    <xf numFmtId="4" fontId="8" fillId="6" borderId="8" xfId="0" applyNumberFormat="1" applyFont="1" applyFill="1" applyBorder="1" applyAlignment="1">
      <alignment horizontal="center" vertical="top" wrapText="1"/>
    </xf>
    <xf numFmtId="0" fontId="5" fillId="6" borderId="8" xfId="0" applyFont="1" applyFill="1" applyBorder="1" applyAlignment="1">
      <alignment vertical="top" wrapText="1"/>
    </xf>
    <xf numFmtId="49" fontId="5" fillId="6" borderId="3" xfId="0" applyNumberFormat="1" applyFont="1" applyFill="1" applyBorder="1" applyAlignment="1">
      <alignment vertical="top" wrapText="1"/>
    </xf>
    <xf numFmtId="49" fontId="5" fillId="6" borderId="5" xfId="0" applyNumberFormat="1" applyFont="1" applyFill="1" applyBorder="1" applyAlignment="1">
      <alignment vertical="top" wrapText="1"/>
    </xf>
    <xf numFmtId="0" fontId="8" fillId="6" borderId="5" xfId="0" applyFont="1" applyFill="1" applyBorder="1" applyAlignment="1">
      <alignment vertical="top" wrapText="1"/>
    </xf>
    <xf numFmtId="166" fontId="45" fillId="6" borderId="5" xfId="0" applyNumberFormat="1" applyFont="1" applyFill="1" applyBorder="1" applyAlignment="1">
      <alignment horizontal="center" vertical="top" wrapText="1"/>
    </xf>
    <xf numFmtId="0" fontId="13" fillId="6" borderId="5" xfId="0" applyFont="1" applyFill="1" applyBorder="1" applyAlignment="1">
      <alignment horizontal="left" vertical="center" wrapText="1"/>
    </xf>
    <xf numFmtId="0" fontId="45" fillId="6" borderId="5" xfId="0" applyFont="1" applyFill="1" applyBorder="1" applyAlignment="1">
      <alignment horizontal="right" vertical="top" wrapText="1"/>
    </xf>
    <xf numFmtId="0" fontId="18" fillId="6" borderId="2" xfId="0" applyFont="1" applyFill="1" applyBorder="1" applyAlignment="1">
      <alignment vertical="top" wrapText="1"/>
    </xf>
    <xf numFmtId="49" fontId="22" fillId="6" borderId="2" xfId="0" applyNumberFormat="1" applyFont="1" applyFill="1" applyBorder="1" applyAlignment="1">
      <alignment vertical="top" wrapText="1"/>
    </xf>
    <xf numFmtId="166" fontId="45" fillId="6" borderId="2" xfId="0" applyNumberFormat="1" applyFont="1" applyFill="1" applyBorder="1" applyAlignment="1">
      <alignment horizontal="center" vertical="top" wrapText="1"/>
    </xf>
    <xf numFmtId="49" fontId="22" fillId="6" borderId="3" xfId="0" applyNumberFormat="1" applyFont="1" applyFill="1" applyBorder="1" applyAlignment="1">
      <alignment vertical="top" wrapText="1"/>
    </xf>
    <xf numFmtId="0" fontId="18" fillId="6" borderId="3" xfId="0" applyFont="1" applyFill="1" applyBorder="1" applyAlignment="1">
      <alignment vertical="top" wrapText="1"/>
    </xf>
    <xf numFmtId="166" fontId="45" fillId="6" borderId="3" xfId="0" applyNumberFormat="1" applyFont="1" applyFill="1" applyBorder="1" applyAlignment="1">
      <alignment horizontal="center" vertical="top" wrapText="1"/>
    </xf>
    <xf numFmtId="0" fontId="8" fillId="6" borderId="7" xfId="0" applyFont="1" applyFill="1" applyBorder="1" applyAlignment="1">
      <alignment vertical="top" wrapText="1"/>
    </xf>
    <xf numFmtId="49" fontId="20" fillId="6" borderId="5" xfId="0" applyNumberFormat="1" applyFont="1" applyFill="1" applyBorder="1" applyAlignment="1">
      <alignment horizontal="center" vertical="top" wrapText="1"/>
    </xf>
    <xf numFmtId="166" fontId="8" fillId="6" borderId="5" xfId="0" applyNumberFormat="1" applyFont="1" applyFill="1" applyBorder="1" applyAlignment="1">
      <alignment horizontal="center" vertical="top" wrapText="1"/>
    </xf>
    <xf numFmtId="0" fontId="44" fillId="6" borderId="2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vertical="top" wrapText="1"/>
    </xf>
    <xf numFmtId="0" fontId="8" fillId="6" borderId="10" xfId="0" applyFont="1" applyFill="1" applyBorder="1" applyAlignment="1">
      <alignment vertical="top" wrapText="1"/>
    </xf>
    <xf numFmtId="0" fontId="53" fillId="6" borderId="8" xfId="0" applyFont="1" applyFill="1" applyBorder="1" applyAlignment="1">
      <alignment vertical="top" wrapText="1"/>
    </xf>
    <xf numFmtId="0" fontId="54" fillId="6" borderId="2" xfId="0" applyFont="1" applyFill="1" applyBorder="1" applyAlignment="1">
      <alignment vertical="top" wrapText="1"/>
    </xf>
    <xf numFmtId="0" fontId="18" fillId="6" borderId="2" xfId="0" applyFont="1" applyFill="1" applyBorder="1"/>
    <xf numFmtId="0" fontId="53" fillId="6" borderId="2" xfId="0" applyFont="1" applyFill="1" applyBorder="1" applyAlignment="1">
      <alignment vertical="top" wrapText="1"/>
    </xf>
    <xf numFmtId="0" fontId="54" fillId="6" borderId="3" xfId="0" applyFont="1" applyFill="1" applyBorder="1" applyAlignment="1">
      <alignment vertical="top" wrapText="1"/>
    </xf>
    <xf numFmtId="0" fontId="13" fillId="6" borderId="7" xfId="0" applyFont="1" applyFill="1" applyBorder="1" applyAlignment="1">
      <alignment horizontal="left" vertical="center" wrapText="1"/>
    </xf>
    <xf numFmtId="0" fontId="19" fillId="6" borderId="6" xfId="0" applyFont="1" applyFill="1" applyBorder="1" applyAlignment="1">
      <alignment horizontal="right" vertical="top" wrapText="1"/>
    </xf>
    <xf numFmtId="49" fontId="19" fillId="6" borderId="2" xfId="0" applyNumberFormat="1" applyFont="1" applyFill="1" applyBorder="1" applyAlignment="1">
      <alignment horizontal="center" vertical="top" wrapText="1"/>
    </xf>
    <xf numFmtId="0" fontId="8" fillId="6" borderId="13" xfId="0" applyFont="1" applyFill="1" applyBorder="1" applyAlignment="1">
      <alignment vertical="top" wrapText="1"/>
    </xf>
    <xf numFmtId="0" fontId="21" fillId="6" borderId="8" xfId="0" applyFont="1" applyFill="1" applyBorder="1" applyAlignment="1">
      <alignment horizontal="left" vertical="center" wrapText="1"/>
    </xf>
    <xf numFmtId="166" fontId="19" fillId="6" borderId="8" xfId="0" applyNumberFormat="1" applyFont="1" applyFill="1" applyBorder="1" applyAlignment="1">
      <alignment horizontal="center" vertical="top" wrapText="1"/>
    </xf>
    <xf numFmtId="0" fontId="8" fillId="6" borderId="4" xfId="0" applyFont="1" applyFill="1" applyBorder="1" applyAlignment="1">
      <alignment vertical="top" wrapText="1"/>
    </xf>
    <xf numFmtId="0" fontId="8" fillId="6" borderId="15" xfId="0" applyFont="1" applyFill="1" applyBorder="1" applyAlignment="1">
      <alignment vertical="top" wrapText="1"/>
    </xf>
    <xf numFmtId="0" fontId="8" fillId="6" borderId="3" xfId="0" applyFont="1" applyFill="1" applyBorder="1" applyAlignment="1">
      <alignment horizontal="center" vertical="top" wrapText="1"/>
    </xf>
    <xf numFmtId="0" fontId="8" fillId="6" borderId="0" xfId="0" applyFont="1" applyFill="1" applyBorder="1" applyAlignment="1">
      <alignment horizontal="center" vertical="top" wrapText="1"/>
    </xf>
    <xf numFmtId="49" fontId="5" fillId="6" borderId="8" xfId="0" applyNumberFormat="1" applyFont="1" applyFill="1" applyBorder="1" applyAlignment="1">
      <alignment vertical="top" wrapText="1"/>
    </xf>
    <xf numFmtId="0" fontId="8" fillId="6" borderId="11" xfId="0" applyFont="1" applyFill="1" applyBorder="1" applyAlignment="1">
      <alignment vertical="top" wrapText="1"/>
    </xf>
    <xf numFmtId="49" fontId="18" fillId="6" borderId="8" xfId="0" applyNumberFormat="1" applyFont="1" applyFill="1" applyBorder="1" applyAlignment="1">
      <alignment horizontal="center" vertical="top" wrapText="1"/>
    </xf>
    <xf numFmtId="0" fontId="18" fillId="6" borderId="8" xfId="0" applyFont="1" applyFill="1" applyBorder="1" applyAlignment="1">
      <alignment vertical="top" wrapText="1"/>
    </xf>
    <xf numFmtId="0" fontId="18" fillId="6" borderId="15" xfId="0" applyFont="1" applyFill="1" applyBorder="1" applyAlignment="1">
      <alignment vertical="top" wrapText="1"/>
    </xf>
    <xf numFmtId="0" fontId="18" fillId="6" borderId="9" xfId="0" applyFont="1" applyFill="1" applyBorder="1" applyAlignment="1">
      <alignment vertical="top" wrapText="1"/>
    </xf>
    <xf numFmtId="1" fontId="3" fillId="0" borderId="0" xfId="0" applyNumberFormat="1" applyFont="1" applyFill="1" applyBorder="1" applyAlignment="1">
      <alignment wrapText="1"/>
    </xf>
    <xf numFmtId="0" fontId="0" fillId="0" borderId="0" xfId="0" applyBorder="1" applyAlignment="1">
      <alignment shrinkToFit="1"/>
    </xf>
    <xf numFmtId="0" fontId="42" fillId="0" borderId="0" xfId="0" applyFont="1" applyBorder="1" applyAlignment="1">
      <alignment horizontal="right"/>
    </xf>
    <xf numFmtId="0" fontId="68" fillId="0" borderId="33" xfId="0" applyFont="1" applyBorder="1" applyAlignment="1">
      <alignment horizontal="centerContinuous"/>
    </xf>
    <xf numFmtId="0" fontId="68" fillId="0" borderId="30" xfId="0" applyFont="1" applyBorder="1" applyAlignment="1">
      <alignment horizontal="centerContinuous"/>
    </xf>
    <xf numFmtId="0" fontId="68" fillId="0" borderId="31" xfId="0" applyFont="1" applyBorder="1" applyAlignment="1">
      <alignment horizontal="centerContinuous"/>
    </xf>
    <xf numFmtId="167" fontId="35" fillId="0" borderId="0" xfId="0" applyNumberFormat="1" applyFont="1" applyBorder="1"/>
    <xf numFmtId="1" fontId="7" fillId="0" borderId="0" xfId="0" applyNumberFormat="1" applyFont="1" applyFill="1" applyBorder="1" applyAlignment="1">
      <alignment horizontal="left" wrapText="1"/>
    </xf>
    <xf numFmtId="49" fontId="34" fillId="0" borderId="0" xfId="0" applyNumberFormat="1" applyFont="1" applyFill="1" applyBorder="1" applyAlignment="1"/>
    <xf numFmtId="49" fontId="34" fillId="0" borderId="0" xfId="0" applyNumberFormat="1" applyFont="1" applyFill="1" applyBorder="1" applyAlignment="1">
      <alignment horizontal="left"/>
    </xf>
    <xf numFmtId="0" fontId="34" fillId="0" borderId="0" xfId="0" applyFont="1" applyFill="1" applyBorder="1"/>
    <xf numFmtId="0" fontId="34" fillId="0" borderId="0" xfId="0" applyFont="1" applyFill="1" applyBorder="1" applyAlignment="1">
      <alignment horizontal="right"/>
    </xf>
    <xf numFmtId="0" fontId="34" fillId="0" borderId="0" xfId="0" applyFont="1" applyFill="1" applyBorder="1" applyAlignment="1"/>
    <xf numFmtId="0" fontId="34" fillId="0" borderId="0" xfId="0" applyFont="1" applyFill="1" applyBorder="1" applyAlignment="1">
      <alignment horizontal="right" vertical="center"/>
    </xf>
    <xf numFmtId="0" fontId="34" fillId="0" borderId="0" xfId="0" applyFont="1" applyFill="1" applyBorder="1" applyAlignment="1">
      <alignment horizontal="center"/>
    </xf>
    <xf numFmtId="0" fontId="85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0" fontId="40" fillId="0" borderId="0" xfId="0" applyFont="1"/>
    <xf numFmtId="0" fontId="40" fillId="0" borderId="0" xfId="0" applyFont="1" applyAlignment="1">
      <alignment horizontal="center"/>
    </xf>
    <xf numFmtId="0" fontId="34" fillId="0" borderId="0" xfId="0" applyFont="1" applyBorder="1" applyAlignment="1">
      <alignment horizontal="left"/>
    </xf>
    <xf numFmtId="0" fontId="34" fillId="0" borderId="0" xfId="0" applyFont="1" applyBorder="1" applyAlignment="1">
      <alignment horizontal="center"/>
    </xf>
    <xf numFmtId="49" fontId="34" fillId="0" borderId="0" xfId="0" applyNumberFormat="1" applyFont="1" applyFill="1" applyBorder="1"/>
    <xf numFmtId="0" fontId="34" fillId="0" borderId="0" xfId="0" applyFont="1" applyFill="1" applyBorder="1" applyAlignment="1">
      <alignment horizontal="left" vertical="center"/>
    </xf>
    <xf numFmtId="0" fontId="40" fillId="0" borderId="0" xfId="0" applyFont="1" applyFill="1" applyBorder="1" applyAlignment="1">
      <alignment horizontal="right"/>
    </xf>
    <xf numFmtId="0" fontId="40" fillId="0" borderId="0" xfId="0" applyFont="1" applyFill="1" applyBorder="1" applyAlignment="1">
      <alignment horizontal="left"/>
    </xf>
    <xf numFmtId="0" fontId="40" fillId="0" borderId="0" xfId="0" applyFont="1" applyFill="1" applyBorder="1"/>
    <xf numFmtId="0" fontId="40" fillId="0" borderId="0" xfId="0" applyFont="1" applyBorder="1"/>
    <xf numFmtId="0" fontId="34" fillId="0" borderId="0" xfId="0" applyFont="1" applyBorder="1" applyAlignment="1"/>
    <xf numFmtId="0" fontId="34" fillId="0" borderId="0" xfId="0" applyFont="1" applyBorder="1" applyAlignment="1">
      <alignment horizontal="right"/>
    </xf>
    <xf numFmtId="0" fontId="34" fillId="0" borderId="0" xfId="0" applyFont="1" applyFill="1" applyBorder="1" applyAlignment="1">
      <alignment horizontal="left"/>
    </xf>
    <xf numFmtId="4" fontId="18" fillId="0" borderId="3" xfId="24" applyNumberFormat="1" applyFont="1" applyFill="1" applyBorder="1" applyAlignment="1">
      <alignment horizontal="right" vertical="top" wrapText="1"/>
    </xf>
    <xf numFmtId="0" fontId="68" fillId="0" borderId="24" xfId="0" applyFont="1" applyBorder="1" applyAlignment="1">
      <alignment horizontal="center" shrinkToFit="1"/>
    </xf>
    <xf numFmtId="0" fontId="68" fillId="0" borderId="23" xfId="0" applyFont="1" applyBorder="1" applyAlignment="1">
      <alignment horizontal="center" shrinkToFit="1"/>
    </xf>
    <xf numFmtId="166" fontId="10" fillId="6" borderId="2" xfId="0" applyNumberFormat="1" applyFont="1" applyFill="1" applyBorder="1" applyAlignment="1">
      <alignment horizontal="center" vertical="top" wrapText="1"/>
    </xf>
    <xf numFmtId="0" fontId="4" fillId="0" borderId="12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Fill="1" applyBorder="1"/>
    <xf numFmtId="0" fontId="47" fillId="0" borderId="2" xfId="0" applyFont="1" applyFill="1" applyBorder="1" applyAlignment="1">
      <alignment horizontal="center"/>
    </xf>
    <xf numFmtId="0" fontId="5" fillId="0" borderId="2" xfId="24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wrapText="1"/>
    </xf>
    <xf numFmtId="0" fontId="69" fillId="0" borderId="0" xfId="0" applyFont="1" applyFill="1" applyBorder="1" applyAlignment="1">
      <alignment horizontal="center"/>
    </xf>
    <xf numFmtId="165" fontId="0" fillId="7" borderId="0" xfId="0" applyNumberFormat="1" applyFont="1" applyFill="1" applyBorder="1"/>
    <xf numFmtId="49" fontId="5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20" fillId="0" borderId="0" xfId="0" applyFont="1" applyFill="1" applyBorder="1" applyAlignment="1">
      <alignment horizontal="right" vertical="top" wrapText="1"/>
    </xf>
    <xf numFmtId="166" fontId="10" fillId="0" borderId="0" xfId="0" applyNumberFormat="1" applyFont="1" applyFill="1" applyBorder="1" applyAlignment="1">
      <alignment horizontal="center" vertical="top" wrapText="1"/>
    </xf>
    <xf numFmtId="0" fontId="5" fillId="6" borderId="0" xfId="0" applyFont="1" applyFill="1" applyBorder="1" applyAlignment="1">
      <alignment vertical="top" wrapText="1"/>
    </xf>
    <xf numFmtId="49" fontId="26" fillId="6" borderId="0" xfId="0" applyNumberFormat="1" applyFont="1" applyFill="1" applyBorder="1" applyAlignment="1">
      <alignment vertical="top" wrapText="1"/>
    </xf>
    <xf numFmtId="166" fontId="19" fillId="6" borderId="0" xfId="0" applyNumberFormat="1" applyFont="1" applyFill="1" applyBorder="1" applyAlignment="1">
      <alignment horizontal="center" vertical="top" wrapText="1"/>
    </xf>
    <xf numFmtId="0" fontId="91" fillId="0" borderId="3" xfId="0" applyFont="1" applyFill="1" applyBorder="1" applyAlignment="1">
      <alignment horizontal="center" vertical="top" wrapText="1"/>
    </xf>
    <xf numFmtId="0" fontId="18" fillId="0" borderId="16" xfId="24" applyFont="1" applyFill="1" applyBorder="1" applyAlignment="1">
      <alignment vertical="top" wrapText="1"/>
    </xf>
    <xf numFmtId="0" fontId="18" fillId="0" borderId="16" xfId="24" applyFont="1" applyFill="1" applyBorder="1" applyAlignment="1">
      <alignment horizontal="center" vertical="top" wrapText="1"/>
    </xf>
    <xf numFmtId="4" fontId="18" fillId="0" borderId="16" xfId="24" applyNumberFormat="1" applyFont="1" applyFill="1" applyBorder="1" applyAlignment="1">
      <alignment horizontal="right" vertical="top" wrapText="1"/>
    </xf>
    <xf numFmtId="0" fontId="18" fillId="0" borderId="5" xfId="24" applyFont="1" applyFill="1" applyBorder="1" applyAlignment="1">
      <alignment horizontal="center" vertical="top" wrapText="1"/>
    </xf>
    <xf numFmtId="4" fontId="18" fillId="0" borderId="6" xfId="24" applyNumberFormat="1" applyFont="1" applyFill="1" applyBorder="1" applyAlignment="1">
      <alignment horizontal="right" vertical="top" wrapText="1"/>
    </xf>
    <xf numFmtId="49" fontId="18" fillId="0" borderId="5" xfId="24" applyNumberFormat="1" applyFont="1" applyFill="1" applyBorder="1" applyAlignment="1">
      <alignment horizontal="center" vertical="top" wrapText="1"/>
    </xf>
    <xf numFmtId="0" fontId="18" fillId="0" borderId="3" xfId="24" applyFont="1" applyFill="1" applyBorder="1" applyAlignment="1">
      <alignment horizontal="center" vertical="top" wrapText="1"/>
    </xf>
    <xf numFmtId="0" fontId="98" fillId="0" borderId="12" xfId="24" applyFont="1" applyFill="1" applyBorder="1" applyAlignment="1">
      <alignment vertical="top" wrapText="1"/>
    </xf>
    <xf numFmtId="0" fontId="18" fillId="0" borderId="9" xfId="0" applyFont="1" applyFill="1" applyBorder="1" applyAlignment="1">
      <alignment vertical="top" wrapText="1"/>
    </xf>
    <xf numFmtId="0" fontId="18" fillId="6" borderId="12" xfId="24" applyFont="1" applyFill="1" applyBorder="1" applyAlignment="1">
      <alignment vertical="top" wrapText="1"/>
    </xf>
    <xf numFmtId="0" fontId="4" fillId="0" borderId="0" xfId="0" applyFont="1" applyBorder="1" applyAlignment="1">
      <alignment horizontal="left"/>
    </xf>
    <xf numFmtId="166" fontId="10" fillId="6" borderId="2" xfId="0" applyNumberFormat="1" applyFont="1" applyFill="1" applyBorder="1" applyAlignment="1">
      <alignment horizontal="center" vertical="top" wrapText="1"/>
    </xf>
    <xf numFmtId="166" fontId="10" fillId="6" borderId="3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/>
    </xf>
    <xf numFmtId="49" fontId="8" fillId="0" borderId="8" xfId="0" applyNumberFormat="1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center" vertical="top"/>
    </xf>
    <xf numFmtId="49" fontId="8" fillId="0" borderId="2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6" borderId="8" xfId="0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horizontal="left" vertical="top" wrapText="1"/>
    </xf>
    <xf numFmtId="49" fontId="8" fillId="6" borderId="8" xfId="0" applyNumberFormat="1" applyFont="1" applyFill="1" applyBorder="1" applyAlignment="1">
      <alignment horizontal="center" vertical="top" wrapText="1"/>
    </xf>
    <xf numFmtId="0" fontId="18" fillId="0" borderId="8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21" fillId="0" borderId="8" xfId="0" applyFont="1" applyFill="1" applyBorder="1" applyAlignment="1">
      <alignment vertical="top" wrapText="1"/>
    </xf>
    <xf numFmtId="0" fontId="18" fillId="0" borderId="0" xfId="0" applyFont="1" applyFill="1" applyBorder="1" applyAlignment="1"/>
    <xf numFmtId="49" fontId="8" fillId="0" borderId="3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3" fillId="6" borderId="0" xfId="0" applyFont="1" applyFill="1" applyAlignment="1">
      <alignment horizontal="right"/>
    </xf>
    <xf numFmtId="0" fontId="3" fillId="6" borderId="0" xfId="0" applyFont="1" applyFill="1" applyAlignment="1">
      <alignment horizontal="left"/>
    </xf>
    <xf numFmtId="0" fontId="3" fillId="6" borderId="0" xfId="0" applyFont="1" applyFill="1" applyAlignment="1">
      <alignment horizontal="justify"/>
    </xf>
    <xf numFmtId="0" fontId="3" fillId="6" borderId="0" xfId="0" applyFont="1" applyFill="1"/>
    <xf numFmtId="0" fontId="3" fillId="6" borderId="0" xfId="0" applyFont="1" applyFill="1" applyAlignment="1">
      <alignment horizontal="right" vertical="top" wrapText="1"/>
    </xf>
    <xf numFmtId="0" fontId="3" fillId="6" borderId="0" xfId="0" applyFont="1" applyFill="1" applyAlignment="1">
      <alignment horizontal="left" vertical="top" wrapText="1"/>
    </xf>
    <xf numFmtId="0" fontId="3" fillId="6" borderId="0" xfId="0" applyFont="1" applyFill="1" applyAlignment="1">
      <alignment vertical="top" wrapText="1"/>
    </xf>
    <xf numFmtId="0" fontId="70" fillId="0" borderId="0" xfId="0" applyFont="1" applyBorder="1" applyAlignment="1"/>
    <xf numFmtId="49" fontId="100" fillId="0" borderId="0" xfId="0" applyNumberFormat="1" applyFont="1" applyFill="1" applyBorder="1" applyAlignment="1"/>
    <xf numFmtId="49" fontId="100" fillId="0" borderId="0" xfId="0" applyNumberFormat="1" applyFont="1" applyFill="1" applyBorder="1" applyAlignment="1">
      <alignment horizontal="left"/>
    </xf>
    <xf numFmtId="0" fontId="100" fillId="0" borderId="0" xfId="0" applyFont="1" applyFill="1" applyBorder="1"/>
    <xf numFmtId="0" fontId="100" fillId="0" borderId="0" xfId="0" applyFont="1" applyFill="1" applyBorder="1" applyAlignment="1">
      <alignment horizontal="right"/>
    </xf>
    <xf numFmtId="0" fontId="100" fillId="0" borderId="0" xfId="0" applyFont="1" applyFill="1" applyBorder="1" applyAlignment="1"/>
    <xf numFmtId="4" fontId="3" fillId="6" borderId="5" xfId="24" applyNumberFormat="1" applyFont="1" applyFill="1" applyBorder="1" applyAlignment="1">
      <alignment horizontal="right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0" fontId="0" fillId="0" borderId="0" xfId="0" applyFont="1" applyFill="1"/>
    <xf numFmtId="0" fontId="21" fillId="6" borderId="3" xfId="0" applyFont="1" applyFill="1" applyBorder="1" applyAlignment="1">
      <alignment vertical="top" wrapText="1"/>
    </xf>
    <xf numFmtId="4" fontId="14" fillId="0" borderId="0" xfId="24" applyNumberFormat="1" applyFont="1" applyFill="1"/>
    <xf numFmtId="0" fontId="68" fillId="0" borderId="4" xfId="0" applyFont="1" applyBorder="1" applyAlignment="1">
      <alignment horizontal="left" shrinkToFit="1"/>
    </xf>
    <xf numFmtId="0" fontId="68" fillId="0" borderId="0" xfId="0" applyFont="1" applyBorder="1" applyAlignment="1">
      <alignment horizontal="left" shrinkToFit="1"/>
    </xf>
    <xf numFmtId="0" fontId="68" fillId="0" borderId="10" xfId="0" applyFont="1" applyBorder="1" applyAlignment="1">
      <alignment horizontal="left" shrinkToFit="1"/>
    </xf>
    <xf numFmtId="0" fontId="68" fillId="0" borderId="0" xfId="0" applyFont="1" applyBorder="1" applyAlignment="1">
      <alignment horizontal="center" shrinkToFit="1"/>
    </xf>
    <xf numFmtId="166" fontId="10" fillId="6" borderId="2" xfId="0" applyNumberFormat="1" applyFont="1" applyFill="1" applyBorder="1" applyAlignment="1">
      <alignment horizontal="center" vertical="top" wrapText="1"/>
    </xf>
    <xf numFmtId="166" fontId="10" fillId="6" borderId="3" xfId="0" applyNumberFormat="1" applyFont="1" applyFill="1" applyBorder="1" applyAlignment="1">
      <alignment horizontal="center" vertical="top" wrapText="1"/>
    </xf>
    <xf numFmtId="0" fontId="18" fillId="0" borderId="3" xfId="0" applyFont="1" applyFill="1" applyBorder="1" applyAlignment="1">
      <alignment horizontal="center" vertical="top"/>
    </xf>
    <xf numFmtId="49" fontId="8" fillId="0" borderId="2" xfId="0" applyNumberFormat="1" applyFont="1" applyFill="1" applyBorder="1" applyAlignment="1">
      <alignment horizontal="center" vertical="top" wrapText="1"/>
    </xf>
    <xf numFmtId="49" fontId="8" fillId="6" borderId="2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1" fontId="3" fillId="0" borderId="0" xfId="0" applyNumberFormat="1" applyFont="1" applyFill="1" applyBorder="1" applyAlignment="1">
      <alignment horizontal="left" wrapText="1"/>
    </xf>
    <xf numFmtId="0" fontId="0" fillId="0" borderId="0" xfId="0" applyAlignment="1">
      <alignment horizontal="center"/>
    </xf>
    <xf numFmtId="166" fontId="10" fillId="6" borderId="2" xfId="0" applyNumberFormat="1" applyFont="1" applyFill="1" applyBorder="1" applyAlignment="1">
      <alignment horizontal="center" vertical="top" wrapText="1"/>
    </xf>
    <xf numFmtId="166" fontId="10" fillId="6" borderId="3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47" fillId="0" borderId="12" xfId="0" applyFont="1" applyBorder="1" applyAlignment="1">
      <alignment horizontal="left" vertical="center" wrapText="1"/>
    </xf>
    <xf numFmtId="0" fontId="47" fillId="0" borderId="7" xfId="0" applyFont="1" applyBorder="1" applyAlignment="1">
      <alignment horizontal="left" vertical="center" wrapText="1"/>
    </xf>
    <xf numFmtId="0" fontId="47" fillId="0" borderId="7" xfId="0" applyFont="1" applyBorder="1" applyAlignment="1">
      <alignment horizontal="left" wrapText="1"/>
    </xf>
    <xf numFmtId="0" fontId="4" fillId="0" borderId="0" xfId="0" applyFont="1" applyFill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49" fontId="8" fillId="0" borderId="8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0" fontId="8" fillId="6" borderId="2" xfId="0" applyFont="1" applyFill="1" applyBorder="1" applyAlignment="1">
      <alignment horizontal="left" vertical="top" wrapText="1"/>
    </xf>
    <xf numFmtId="0" fontId="8" fillId="6" borderId="3" xfId="0" applyFont="1" applyFill="1" applyBorder="1" applyAlignment="1">
      <alignment horizontal="left" vertical="top" wrapText="1"/>
    </xf>
    <xf numFmtId="0" fontId="17" fillId="0" borderId="0" xfId="0" applyFont="1" applyAlignment="1">
      <alignment horizontal="right"/>
    </xf>
    <xf numFmtId="0" fontId="4" fillId="0" borderId="0" xfId="0" applyFont="1" applyFill="1" applyBorder="1" applyAlignment="1">
      <alignment horizontal="left"/>
    </xf>
    <xf numFmtId="0" fontId="21" fillId="6" borderId="0" xfId="0" applyFont="1" applyFill="1" applyBorder="1" applyAlignment="1">
      <alignment horizontal="left" vertical="center" wrapText="1"/>
    </xf>
    <xf numFmtId="0" fontId="18" fillId="6" borderId="4" xfId="0" applyFont="1" applyFill="1" applyBorder="1"/>
    <xf numFmtId="0" fontId="18" fillId="6" borderId="0" xfId="0" applyFont="1" applyFill="1" applyBorder="1" applyAlignment="1">
      <alignment vertical="top"/>
    </xf>
    <xf numFmtId="0" fontId="21" fillId="0" borderId="2" xfId="0" applyFont="1" applyFill="1" applyBorder="1" applyAlignment="1">
      <alignment horizontal="left" vertical="center" wrapText="1"/>
    </xf>
    <xf numFmtId="166" fontId="10" fillId="0" borderId="8" xfId="0" applyNumberFormat="1" applyFont="1" applyFill="1" applyBorder="1" applyAlignment="1">
      <alignment horizontal="center" vertical="top"/>
    </xf>
    <xf numFmtId="166" fontId="10" fillId="0" borderId="2" xfId="0" applyNumberFormat="1" applyFont="1" applyFill="1" applyBorder="1" applyAlignment="1">
      <alignment horizontal="center" vertical="top"/>
    </xf>
    <xf numFmtId="0" fontId="102" fillId="0" borderId="0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vertical="top" wrapText="1"/>
    </xf>
    <xf numFmtId="0" fontId="21" fillId="6" borderId="0" xfId="0" applyFont="1" applyFill="1" applyBorder="1" applyAlignment="1">
      <alignment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6" borderId="0" xfId="0" applyFont="1" applyFill="1" applyBorder="1" applyAlignment="1">
      <alignment horizontal="left" vertical="top" wrapText="1"/>
    </xf>
    <xf numFmtId="0" fontId="8" fillId="6" borderId="9" xfId="0" applyFont="1" applyFill="1" applyBorder="1" applyAlignment="1">
      <alignment horizontal="left" vertical="top" wrapText="1"/>
    </xf>
    <xf numFmtId="0" fontId="8" fillId="6" borderId="11" xfId="0" applyFont="1" applyFill="1" applyBorder="1" applyAlignment="1">
      <alignment horizontal="left" vertical="top" wrapText="1"/>
    </xf>
    <xf numFmtId="167" fontId="10" fillId="6" borderId="8" xfId="0" applyNumberFormat="1" applyFont="1" applyFill="1" applyBorder="1" applyAlignment="1">
      <alignment horizontal="center" vertical="top" wrapText="1"/>
    </xf>
    <xf numFmtId="49" fontId="8" fillId="0" borderId="15" xfId="0" applyNumberFormat="1" applyFont="1" applyFill="1" applyBorder="1" applyAlignment="1">
      <alignment horizontal="center" vertical="top" wrapText="1"/>
    </xf>
    <xf numFmtId="0" fontId="22" fillId="6" borderId="2" xfId="24" applyFont="1" applyFill="1" applyBorder="1" applyAlignment="1">
      <alignment horizontal="left" vertical="top" wrapText="1"/>
    </xf>
    <xf numFmtId="0" fontId="19" fillId="6" borderId="2" xfId="24" applyFont="1" applyFill="1" applyBorder="1" applyAlignment="1">
      <alignment horizontal="left" vertical="top" wrapText="1"/>
    </xf>
    <xf numFmtId="0" fontId="17" fillId="6" borderId="2" xfId="24" applyFont="1" applyFill="1" applyBorder="1" applyAlignment="1">
      <alignment horizontal="left" vertical="top" wrapText="1"/>
    </xf>
    <xf numFmtId="0" fontId="63" fillId="0" borderId="9" xfId="0" applyFont="1" applyBorder="1"/>
    <xf numFmtId="0" fontId="103" fillId="0" borderId="9" xfId="0" applyFont="1" applyBorder="1"/>
    <xf numFmtId="0" fontId="104" fillId="0" borderId="9" xfId="0" applyFont="1" applyFill="1" applyBorder="1" applyAlignment="1">
      <alignment horizontal="right" vertical="center"/>
    </xf>
    <xf numFmtId="1" fontId="17" fillId="0" borderId="0" xfId="0" applyNumberFormat="1" applyFont="1" applyFill="1" applyBorder="1" applyAlignment="1">
      <alignment horizontal="left" wrapText="1"/>
    </xf>
    <xf numFmtId="49" fontId="8" fillId="6" borderId="0" xfId="0" applyNumberFormat="1" applyFont="1" applyFill="1" applyBorder="1" applyAlignment="1">
      <alignment horizontal="left" vertical="top" wrapText="1"/>
    </xf>
    <xf numFmtId="49" fontId="8" fillId="6" borderId="10" xfId="0" applyNumberFormat="1" applyFont="1" applyFill="1" applyBorder="1" applyAlignment="1">
      <alignment horizontal="left" vertical="top" wrapText="1"/>
    </xf>
    <xf numFmtId="49" fontId="81" fillId="6" borderId="10" xfId="0" applyNumberFormat="1" applyFont="1" applyFill="1" applyBorder="1" applyAlignment="1">
      <alignment vertical="top" wrapText="1"/>
    </xf>
    <xf numFmtId="0" fontId="13" fillId="6" borderId="4" xfId="0" applyFont="1" applyFill="1" applyBorder="1" applyAlignment="1">
      <alignment vertical="top" wrapText="1"/>
    </xf>
    <xf numFmtId="0" fontId="13" fillId="6" borderId="15" xfId="0" applyFont="1" applyFill="1" applyBorder="1" applyAlignment="1">
      <alignment vertical="top" wrapText="1"/>
    </xf>
    <xf numFmtId="49" fontId="81" fillId="6" borderId="3" xfId="0" applyNumberFormat="1" applyFont="1" applyFill="1" applyBorder="1" applyAlignment="1">
      <alignment vertical="top" wrapText="1"/>
    </xf>
    <xf numFmtId="49" fontId="81" fillId="6" borderId="2" xfId="0" applyNumberFormat="1" applyFont="1" applyFill="1" applyBorder="1" applyAlignment="1">
      <alignment vertical="top" wrapText="1"/>
    </xf>
    <xf numFmtId="0" fontId="18" fillId="0" borderId="6" xfId="24" applyFont="1" applyFill="1" applyBorder="1" applyAlignment="1">
      <alignment vertical="top" wrapText="1"/>
    </xf>
    <xf numFmtId="0" fontId="18" fillId="0" borderId="6" xfId="24" applyFont="1" applyFill="1" applyBorder="1" applyAlignment="1">
      <alignment horizontal="center" vertical="top" wrapText="1"/>
    </xf>
    <xf numFmtId="2" fontId="18" fillId="0" borderId="9" xfId="24" applyNumberFormat="1" applyFont="1" applyFill="1" applyBorder="1" applyAlignment="1">
      <alignment vertical="top" wrapText="1"/>
    </xf>
    <xf numFmtId="1" fontId="3" fillId="0" borderId="0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/>
    </xf>
    <xf numFmtId="166" fontId="10" fillId="6" borderId="2" xfId="0" applyNumberFormat="1" applyFont="1" applyFill="1" applyBorder="1" applyAlignment="1">
      <alignment horizontal="center" vertical="top" wrapText="1"/>
    </xf>
    <xf numFmtId="166" fontId="10" fillId="6" borderId="3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Fill="1" applyBorder="1" applyAlignment="1">
      <alignment horizontal="left"/>
    </xf>
    <xf numFmtId="49" fontId="8" fillId="0" borderId="8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center" vertical="top"/>
    </xf>
    <xf numFmtId="0" fontId="18" fillId="0" borderId="3" xfId="0" applyFont="1" applyFill="1" applyBorder="1" applyAlignment="1">
      <alignment horizontal="center" vertical="top"/>
    </xf>
    <xf numFmtId="0" fontId="92" fillId="0" borderId="0" xfId="0" applyFont="1" applyBorder="1" applyAlignment="1">
      <alignment horizontal="left"/>
    </xf>
    <xf numFmtId="0" fontId="8" fillId="6" borderId="8" xfId="0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horizontal="left" vertical="top" wrapText="1"/>
    </xf>
    <xf numFmtId="0" fontId="8" fillId="6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24" fillId="0" borderId="0" xfId="0" applyFont="1" applyFill="1" applyBorder="1"/>
    <xf numFmtId="0" fontId="13" fillId="0" borderId="16" xfId="0" applyFont="1" applyFill="1" applyBorder="1" applyAlignment="1">
      <alignment vertical="top" wrapText="1"/>
    </xf>
    <xf numFmtId="0" fontId="19" fillId="0" borderId="5" xfId="0" applyFont="1" applyFill="1" applyBorder="1" applyAlignment="1">
      <alignment horizontal="right" vertical="top" wrapText="1"/>
    </xf>
    <xf numFmtId="0" fontId="8" fillId="0" borderId="2" xfId="0" applyFont="1" applyFill="1" applyBorder="1" applyAlignment="1">
      <alignment horizontal="center" vertical="top" wrapText="1"/>
    </xf>
    <xf numFmtId="1" fontId="3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/>
    </xf>
    <xf numFmtId="0" fontId="8" fillId="0" borderId="2" xfId="0" applyFont="1" applyFill="1" applyBorder="1" applyAlignment="1">
      <alignment horizontal="center" vertical="top" wrapText="1"/>
    </xf>
    <xf numFmtId="0" fontId="1" fillId="0" borderId="0" xfId="31" applyFont="1"/>
    <xf numFmtId="0" fontId="86" fillId="0" borderId="0" xfId="31"/>
    <xf numFmtId="0" fontId="86" fillId="0" borderId="0" xfId="31" applyAlignment="1">
      <alignment horizontal="left"/>
    </xf>
    <xf numFmtId="0" fontId="108" fillId="0" borderId="0" xfId="31" applyFont="1" applyBorder="1" applyAlignment="1">
      <alignment horizontal="center" vertical="top" wrapText="1"/>
    </xf>
    <xf numFmtId="0" fontId="108" fillId="0" borderId="44" xfId="31" applyFont="1" applyBorder="1" applyAlignment="1">
      <alignment vertical="top" wrapText="1"/>
    </xf>
    <xf numFmtId="0" fontId="109" fillId="0" borderId="29" xfId="31" applyFont="1" applyBorder="1" applyAlignment="1">
      <alignment horizontal="center" wrapText="1"/>
    </xf>
    <xf numFmtId="0" fontId="110" fillId="0" borderId="31" xfId="31" applyFont="1" applyBorder="1" applyAlignment="1">
      <alignment horizontal="center" wrapText="1"/>
    </xf>
    <xf numFmtId="0" fontId="110" fillId="0" borderId="31" xfId="32" applyFont="1" applyBorder="1" applyAlignment="1">
      <alignment horizontal="center" wrapText="1"/>
    </xf>
    <xf numFmtId="0" fontId="109" fillId="0" borderId="34" xfId="31" applyFont="1" applyBorder="1" applyAlignment="1">
      <alignment horizontal="center" vertical="top" wrapText="1"/>
    </xf>
    <xf numFmtId="0" fontId="110" fillId="0" borderId="27" xfId="31" applyFont="1" applyBorder="1" applyAlignment="1">
      <alignment horizontal="justify" wrapText="1"/>
    </xf>
    <xf numFmtId="0" fontId="110" fillId="0" borderId="27" xfId="31" applyFont="1" applyBorder="1" applyAlignment="1">
      <alignment horizontal="center" wrapText="1"/>
    </xf>
    <xf numFmtId="0" fontId="110" fillId="0" borderId="27" xfId="31" applyFont="1" applyBorder="1" applyAlignment="1">
      <alignment horizontal="right" wrapText="1"/>
    </xf>
    <xf numFmtId="0" fontId="111" fillId="0" borderId="27" xfId="31" applyFont="1" applyBorder="1" applyAlignment="1">
      <alignment horizontal="justify" wrapText="1"/>
    </xf>
    <xf numFmtId="0" fontId="111" fillId="0" borderId="27" xfId="31" applyFont="1" applyBorder="1" applyAlignment="1">
      <alignment horizontal="right" wrapText="1"/>
    </xf>
    <xf numFmtId="0" fontId="111" fillId="0" borderId="27" xfId="31" applyFont="1" applyBorder="1" applyAlignment="1">
      <alignment horizontal="center" wrapText="1"/>
    </xf>
    <xf numFmtId="0" fontId="109" fillId="0" borderId="27" xfId="31" applyFont="1" applyBorder="1" applyAlignment="1">
      <alignment horizontal="justify" wrapText="1"/>
    </xf>
    <xf numFmtId="1" fontId="110" fillId="0" borderId="27" xfId="31" applyNumberFormat="1" applyFont="1" applyBorder="1" applyAlignment="1">
      <alignment horizontal="right" wrapText="1"/>
    </xf>
    <xf numFmtId="1" fontId="111" fillId="0" borderId="27" xfId="31" applyNumberFormat="1" applyFont="1" applyBorder="1" applyAlignment="1">
      <alignment horizontal="right" wrapText="1"/>
    </xf>
    <xf numFmtId="0" fontId="109" fillId="0" borderId="0" xfId="31" applyFont="1" applyAlignment="1">
      <alignment horizontal="center" vertical="top" wrapText="1"/>
    </xf>
    <xf numFmtId="0" fontId="110" fillId="0" borderId="0" xfId="31" applyFont="1" applyAlignment="1">
      <alignment horizontal="justify" wrapText="1"/>
    </xf>
    <xf numFmtId="0" fontId="110" fillId="0" borderId="0" xfId="31" applyFont="1" applyAlignment="1">
      <alignment horizontal="center" wrapText="1"/>
    </xf>
    <xf numFmtId="0" fontId="110" fillId="0" borderId="0" xfId="31" applyFont="1" applyAlignment="1">
      <alignment horizontal="right" wrapText="1"/>
    </xf>
    <xf numFmtId="1" fontId="111" fillId="0" borderId="0" xfId="31" applyNumberFormat="1" applyFont="1" applyAlignment="1">
      <alignment horizontal="right" wrapText="1"/>
    </xf>
    <xf numFmtId="0" fontId="112" fillId="0" borderId="0" xfId="31" applyFont="1"/>
    <xf numFmtId="0" fontId="113" fillId="0" borderId="0" xfId="31" applyFont="1"/>
    <xf numFmtId="0" fontId="114" fillId="0" borderId="2" xfId="0" applyFont="1" applyFill="1" applyBorder="1" applyAlignment="1">
      <alignment horizontal="left" vertical="center" wrapText="1"/>
    </xf>
    <xf numFmtId="0" fontId="115" fillId="0" borderId="0" xfId="65" applyNumberFormat="1" applyFont="1" applyAlignment="1">
      <alignment vertical="top" wrapText="1"/>
    </xf>
    <xf numFmtId="0" fontId="39" fillId="0" borderId="0" xfId="65" applyNumberFormat="1" applyFont="1"/>
    <xf numFmtId="0" fontId="39" fillId="0" borderId="0" xfId="65" applyNumberFormat="1" applyFont="1" applyAlignment="1">
      <alignment horizontal="left"/>
    </xf>
    <xf numFmtId="0" fontId="39" fillId="0" borderId="0" xfId="65" applyNumberFormat="1" applyFont="1" applyAlignment="1"/>
    <xf numFmtId="0" fontId="107" fillId="0" borderId="0" xfId="65" applyNumberFormat="1" applyFont="1" applyBorder="1" applyAlignment="1">
      <alignment horizontal="right" vertical="top"/>
    </xf>
    <xf numFmtId="0" fontId="17" fillId="0" borderId="0" xfId="65" applyNumberFormat="1" applyFont="1" applyAlignment="1">
      <alignment wrapText="1"/>
    </xf>
    <xf numFmtId="0" fontId="17" fillId="0" borderId="0" xfId="65" applyNumberFormat="1" applyFont="1" applyAlignment="1">
      <alignment horizontal="right"/>
    </xf>
    <xf numFmtId="0" fontId="17" fillId="0" borderId="0" xfId="65" applyNumberFormat="1" applyFont="1" applyBorder="1" applyAlignment="1">
      <alignment horizontal="left" vertical="top" wrapText="1"/>
    </xf>
    <xf numFmtId="0" fontId="117" fillId="0" borderId="0" xfId="65" applyNumberFormat="1" applyFont="1" applyBorder="1" applyAlignment="1">
      <alignment vertical="top" wrapText="1"/>
    </xf>
    <xf numFmtId="0" fontId="20" fillId="0" borderId="0" xfId="65" applyNumberFormat="1" applyFont="1" applyAlignment="1">
      <alignment horizontal="left"/>
    </xf>
    <xf numFmtId="0" fontId="20" fillId="0" borderId="0" xfId="65" applyNumberFormat="1" applyFont="1" applyAlignment="1">
      <alignment horizontal="right"/>
    </xf>
    <xf numFmtId="0" fontId="17" fillId="0" borderId="0" xfId="65" applyNumberFormat="1" applyFont="1" applyAlignment="1">
      <alignment vertical="top" wrapText="1"/>
    </xf>
    <xf numFmtId="0" fontId="18" fillId="0" borderId="51" xfId="65" applyNumberFormat="1" applyFont="1" applyBorder="1" applyAlignment="1">
      <alignment horizontal="center" vertical="top" wrapText="1"/>
    </xf>
    <xf numFmtId="0" fontId="18" fillId="0" borderId="51" xfId="65" applyNumberFormat="1" applyFont="1" applyBorder="1" applyAlignment="1">
      <alignment horizontal="center" wrapText="1"/>
    </xf>
    <xf numFmtId="0" fontId="18" fillId="0" borderId="52" xfId="65" applyNumberFormat="1" applyFont="1" applyBorder="1" applyAlignment="1">
      <alignment horizontal="right" vertical="top" wrapText="1"/>
    </xf>
    <xf numFmtId="0" fontId="18" fillId="0" borderId="52" xfId="0" applyNumberFormat="1" applyFont="1" applyBorder="1" applyAlignment="1">
      <alignment horizontal="left" vertical="top" wrapText="1"/>
    </xf>
    <xf numFmtId="2" fontId="18" fillId="0" borderId="52" xfId="0" applyNumberFormat="1" applyFont="1" applyBorder="1" applyAlignment="1">
      <alignment horizontal="right" vertical="top" wrapText="1"/>
    </xf>
    <xf numFmtId="0" fontId="18" fillId="0" borderId="5" xfId="65" applyNumberFormat="1" applyFont="1" applyBorder="1" applyAlignment="1">
      <alignment horizontal="right" vertical="top" wrapText="1"/>
    </xf>
    <xf numFmtId="0" fontId="18" fillId="0" borderId="5" xfId="65" applyNumberFormat="1" applyFont="1" applyBorder="1" applyAlignment="1">
      <alignment horizontal="left" vertical="top" wrapText="1"/>
    </xf>
    <xf numFmtId="2" fontId="18" fillId="0" borderId="5" xfId="65" applyNumberFormat="1" applyFont="1" applyBorder="1" applyAlignment="1">
      <alignment horizontal="right" vertical="top" wrapText="1"/>
    </xf>
    <xf numFmtId="0" fontId="19" fillId="0" borderId="5" xfId="65" applyNumberFormat="1" applyFont="1" applyBorder="1" applyAlignment="1">
      <alignment horizontal="left" vertical="top" wrapText="1"/>
    </xf>
    <xf numFmtId="2" fontId="19" fillId="0" borderId="5" xfId="65" applyNumberFormat="1" applyFont="1" applyBorder="1" applyAlignment="1">
      <alignment horizontal="right" vertical="top" wrapText="1"/>
    </xf>
    <xf numFmtId="0" fontId="39" fillId="0" borderId="0" xfId="65" applyNumberFormat="1" applyFont="1" applyAlignment="1">
      <alignment wrapText="1"/>
    </xf>
    <xf numFmtId="0" fontId="95" fillId="0" borderId="0" xfId="0" applyFont="1" applyFill="1"/>
    <xf numFmtId="0" fontId="118" fillId="0" borderId="0" xfId="0" applyFont="1"/>
    <xf numFmtId="49" fontId="3" fillId="0" borderId="0" xfId="0" applyNumberFormat="1" applyFont="1" applyFill="1" applyBorder="1" applyAlignment="1"/>
    <xf numFmtId="49" fontId="3" fillId="0" borderId="0" xfId="0" applyNumberFormat="1" applyFont="1" applyFill="1" applyBorder="1" applyAlignment="1">
      <alignment horizontal="left"/>
    </xf>
    <xf numFmtId="0" fontId="119" fillId="0" borderId="0" xfId="65" applyNumberFormat="1" applyFont="1" applyAlignment="1">
      <alignment wrapText="1"/>
    </xf>
    <xf numFmtId="0" fontId="119" fillId="0" borderId="0" xfId="65" applyNumberFormat="1" applyFont="1"/>
    <xf numFmtId="0" fontId="3" fillId="6" borderId="0" xfId="0" applyFont="1" applyFill="1" applyAlignment="1">
      <alignment horizontal="left" wrapText="1"/>
    </xf>
    <xf numFmtId="0" fontId="3" fillId="6" borderId="0" xfId="0" applyFont="1" applyFill="1" applyAlignment="1">
      <alignment horizontal="left" vertical="top" wrapText="1"/>
    </xf>
    <xf numFmtId="0" fontId="3" fillId="0" borderId="0" xfId="24" applyFont="1" applyFill="1" applyAlignment="1">
      <alignment horizontal="center"/>
    </xf>
    <xf numFmtId="0" fontId="4" fillId="0" borderId="0" xfId="24" applyFont="1" applyFill="1" applyAlignment="1">
      <alignment horizontal="center"/>
    </xf>
    <xf numFmtId="0" fontId="3" fillId="0" borderId="0" xfId="0" applyFont="1" applyFill="1" applyAlignment="1">
      <alignment horizontal="left" vertical="top" wrapText="1"/>
    </xf>
    <xf numFmtId="0" fontId="4" fillId="0" borderId="0" xfId="24" applyFont="1" applyFill="1" applyAlignment="1">
      <alignment horizontal="left"/>
    </xf>
    <xf numFmtId="0" fontId="3" fillId="0" borderId="0" xfId="24" applyFont="1" applyFill="1" applyAlignment="1">
      <alignment horizontal="left"/>
    </xf>
    <xf numFmtId="0" fontId="66" fillId="0" borderId="15" xfId="0" applyFont="1" applyFill="1" applyBorder="1" applyAlignment="1">
      <alignment horizontal="left" wrapText="1"/>
    </xf>
    <xf numFmtId="0" fontId="66" fillId="0" borderId="16" xfId="0" applyFont="1" applyFill="1" applyBorder="1" applyAlignment="1">
      <alignment horizontal="left" wrapText="1"/>
    </xf>
    <xf numFmtId="0" fontId="66" fillId="0" borderId="4" xfId="0" applyFont="1" applyFill="1" applyBorder="1" applyAlignment="1">
      <alignment horizontal="left" wrapText="1"/>
    </xf>
    <xf numFmtId="0" fontId="66" fillId="0" borderId="10" xfId="0" applyFont="1" applyFill="1" applyBorder="1" applyAlignment="1">
      <alignment horizontal="left" wrapText="1"/>
    </xf>
    <xf numFmtId="0" fontId="41" fillId="0" borderId="0" xfId="0" applyFont="1" applyAlignment="1">
      <alignment horizontal="left" vertical="top" wrapText="1"/>
    </xf>
    <xf numFmtId="0" fontId="64" fillId="0" borderId="13" xfId="0" applyFont="1" applyFill="1" applyBorder="1" applyAlignment="1">
      <alignment wrapText="1"/>
    </xf>
    <xf numFmtId="0" fontId="64" fillId="0" borderId="11" xfId="0" applyFont="1" applyFill="1" applyBorder="1" applyAlignment="1">
      <alignment wrapText="1"/>
    </xf>
    <xf numFmtId="0" fontId="64" fillId="0" borderId="14" xfId="0" applyFont="1" applyFill="1" applyBorder="1" applyAlignment="1">
      <alignment wrapText="1"/>
    </xf>
    <xf numFmtId="0" fontId="41" fillId="0" borderId="0" xfId="0" applyFont="1" applyAlignment="1">
      <alignment horizontal="center"/>
    </xf>
    <xf numFmtId="0" fontId="64" fillId="0" borderId="10" xfId="0" applyFont="1" applyFill="1" applyBorder="1" applyAlignment="1">
      <alignment horizontal="left" wrapText="1"/>
    </xf>
    <xf numFmtId="0" fontId="64" fillId="0" borderId="4" xfId="0" applyFont="1" applyFill="1" applyBorder="1" applyAlignment="1">
      <alignment horizontal="left" wrapText="1"/>
    </xf>
    <xf numFmtId="0" fontId="66" fillId="0" borderId="13" xfId="0" applyFont="1" applyFill="1" applyBorder="1" applyAlignment="1">
      <alignment horizontal="left" wrapText="1"/>
    </xf>
    <xf numFmtId="0" fontId="66" fillId="0" borderId="14" xfId="0" applyFont="1" applyFill="1" applyBorder="1" applyAlignment="1">
      <alignment horizontal="left" wrapText="1"/>
    </xf>
    <xf numFmtId="0" fontId="66" fillId="0" borderId="4" xfId="0" applyFont="1" applyFill="1" applyBorder="1" applyAlignment="1">
      <alignment horizontal="center" wrapText="1"/>
    </xf>
    <xf numFmtId="0" fontId="66" fillId="0" borderId="10" xfId="0" applyFont="1" applyFill="1" applyBorder="1" applyAlignment="1">
      <alignment horizontal="center" wrapText="1"/>
    </xf>
    <xf numFmtId="1" fontId="3" fillId="0" borderId="0" xfId="0" applyNumberFormat="1" applyFont="1" applyFill="1" applyBorder="1" applyAlignment="1">
      <alignment horizontal="left" wrapText="1"/>
    </xf>
    <xf numFmtId="0" fontId="66" fillId="0" borderId="0" xfId="0" applyFont="1" applyFill="1" applyBorder="1" applyAlignment="1">
      <alignment horizontal="left" wrapText="1"/>
    </xf>
    <xf numFmtId="1" fontId="7" fillId="0" borderId="0" xfId="0" applyNumberFormat="1" applyFont="1" applyFill="1" applyBorder="1" applyAlignment="1">
      <alignment horizontal="left" wrapText="1"/>
    </xf>
    <xf numFmtId="0" fontId="34" fillId="0" borderId="0" xfId="0" applyFont="1" applyBorder="1" applyAlignment="1">
      <alignment horizontal="left"/>
    </xf>
    <xf numFmtId="0" fontId="71" fillId="0" borderId="0" xfId="0" applyFont="1" applyBorder="1" applyAlignment="1">
      <alignment horizontal="left"/>
    </xf>
    <xf numFmtId="0" fontId="70" fillId="0" borderId="0" xfId="0" applyFont="1" applyBorder="1" applyAlignment="1">
      <alignment horizontal="left"/>
    </xf>
    <xf numFmtId="0" fontId="68" fillId="0" borderId="0" xfId="0" applyFont="1" applyBorder="1" applyAlignment="1">
      <alignment horizontal="left" shrinkToFit="1"/>
    </xf>
    <xf numFmtId="0" fontId="68" fillId="0" borderId="10" xfId="0" applyFont="1" applyBorder="1" applyAlignment="1">
      <alignment horizontal="left" shrinkToFit="1"/>
    </xf>
    <xf numFmtId="0" fontId="71" fillId="0" borderId="0" xfId="0" applyFont="1" applyBorder="1" applyAlignment="1">
      <alignment horizontal="left" shrinkToFit="1"/>
    </xf>
    <xf numFmtId="0" fontId="71" fillId="0" borderId="0" xfId="0" applyFont="1" applyBorder="1" applyAlignment="1">
      <alignment horizontal="center"/>
    </xf>
    <xf numFmtId="0" fontId="68" fillId="0" borderId="4" xfId="0" applyFont="1" applyBorder="1" applyAlignment="1">
      <alignment horizontal="center" shrinkToFit="1"/>
    </xf>
    <xf numFmtId="0" fontId="68" fillId="0" borderId="10" xfId="0" applyFont="1" applyBorder="1" applyAlignment="1">
      <alignment horizontal="center" shrinkToFit="1"/>
    </xf>
    <xf numFmtId="0" fontId="68" fillId="0" borderId="4" xfId="0" applyFont="1" applyBorder="1" applyAlignment="1">
      <alignment horizontal="left" shrinkToFit="1"/>
    </xf>
    <xf numFmtId="1" fontId="99" fillId="0" borderId="0" xfId="0" applyNumberFormat="1" applyFont="1" applyFill="1" applyBorder="1" applyAlignment="1">
      <alignment horizontal="left" wrapText="1"/>
    </xf>
    <xf numFmtId="0" fontId="68" fillId="0" borderId="0" xfId="0" applyFont="1" applyBorder="1" applyAlignment="1">
      <alignment horizontal="left"/>
    </xf>
    <xf numFmtId="1" fontId="68" fillId="0" borderId="24" xfId="0" applyNumberFormat="1" applyFont="1" applyBorder="1" applyAlignment="1">
      <alignment horizontal="center"/>
    </xf>
    <xf numFmtId="1" fontId="68" fillId="0" borderId="0" xfId="0" applyNumberFormat="1" applyFont="1" applyBorder="1" applyAlignment="1">
      <alignment horizontal="center"/>
    </xf>
    <xf numFmtId="0" fontId="68" fillId="0" borderId="24" xfId="0" applyFont="1" applyBorder="1" applyAlignment="1">
      <alignment horizontal="center" shrinkToFit="1"/>
    </xf>
    <xf numFmtId="0" fontId="68" fillId="0" borderId="0" xfId="0" applyFont="1" applyBorder="1" applyAlignment="1">
      <alignment horizontal="center" shrinkToFit="1"/>
    </xf>
    <xf numFmtId="0" fontId="68" fillId="0" borderId="23" xfId="0" applyFont="1" applyBorder="1" applyAlignment="1">
      <alignment horizontal="center" shrinkToFit="1"/>
    </xf>
    <xf numFmtId="0" fontId="68" fillId="0" borderId="33" xfId="0" applyFont="1" applyBorder="1" applyAlignment="1">
      <alignment horizontal="center"/>
    </xf>
    <xf numFmtId="0" fontId="68" fillId="0" borderId="31" xfId="0" applyFont="1" applyBorder="1" applyAlignment="1">
      <alignment horizontal="center"/>
    </xf>
    <xf numFmtId="0" fontId="69" fillId="0" borderId="19" xfId="0" applyFont="1" applyBorder="1" applyAlignment="1">
      <alignment horizontal="center" shrinkToFit="1"/>
    </xf>
    <xf numFmtId="0" fontId="0" fillId="0" borderId="19" xfId="0" applyBorder="1" applyAlignment="1"/>
    <xf numFmtId="0" fontId="68" fillId="0" borderId="0" xfId="0" applyFont="1" applyBorder="1" applyAlignment="1"/>
    <xf numFmtId="0" fontId="40" fillId="0" borderId="0" xfId="0" applyFont="1" applyBorder="1" applyAlignment="1">
      <alignment horizontal="left"/>
    </xf>
    <xf numFmtId="0" fontId="73" fillId="0" borderId="0" xfId="0" applyFont="1" applyAlignment="1"/>
    <xf numFmtId="0" fontId="68" fillId="0" borderId="4" xfId="0" applyFont="1" applyBorder="1" applyAlignment="1">
      <alignment shrinkToFit="1"/>
    </xf>
    <xf numFmtId="0" fontId="68" fillId="0" borderId="0" xfId="0" applyFont="1" applyBorder="1" applyAlignment="1">
      <alignment shrinkToFit="1"/>
    </xf>
    <xf numFmtId="0" fontId="68" fillId="0" borderId="10" xfId="0" applyFont="1" applyBorder="1" applyAlignment="1">
      <alignment shrinkToFit="1"/>
    </xf>
    <xf numFmtId="0" fontId="69" fillId="0" borderId="0" xfId="0" applyFont="1" applyBorder="1" applyAlignment="1">
      <alignment horizontal="center"/>
    </xf>
    <xf numFmtId="0" fontId="70" fillId="0" borderId="0" xfId="0" applyFont="1" applyBorder="1" applyAlignment="1">
      <alignment horizontal="center"/>
    </xf>
    <xf numFmtId="0" fontId="84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72" fillId="0" borderId="0" xfId="0" applyFont="1" applyBorder="1" applyAlignment="1">
      <alignment horizontal="center"/>
    </xf>
    <xf numFmtId="0" fontId="78" fillId="0" borderId="4" xfId="0" applyFont="1" applyBorder="1" applyAlignment="1">
      <alignment horizontal="left"/>
    </xf>
    <xf numFmtId="0" fontId="78" fillId="0" borderId="0" xfId="0" applyFont="1" applyBorder="1" applyAlignment="1">
      <alignment horizontal="left"/>
    </xf>
    <xf numFmtId="0" fontId="78" fillId="0" borderId="10" xfId="0" applyFont="1" applyBorder="1" applyAlignment="1">
      <alignment horizontal="left"/>
    </xf>
    <xf numFmtId="0" fontId="68" fillId="0" borderId="0" xfId="0" applyFont="1" applyAlignment="1"/>
    <xf numFmtId="1" fontId="68" fillId="0" borderId="24" xfId="0" applyNumberFormat="1" applyFont="1" applyBorder="1" applyAlignment="1">
      <alignment horizontal="center" shrinkToFit="1"/>
    </xf>
    <xf numFmtId="1" fontId="68" fillId="0" borderId="23" xfId="0" applyNumberFormat="1" applyFont="1" applyBorder="1" applyAlignment="1">
      <alignment horizontal="center" shrinkToFit="1"/>
    </xf>
    <xf numFmtId="0" fontId="68" fillId="0" borderId="24" xfId="0" applyFont="1" applyBorder="1" applyAlignment="1">
      <alignment shrinkToFit="1"/>
    </xf>
    <xf numFmtId="0" fontId="68" fillId="0" borderId="23" xfId="0" applyFont="1" applyBorder="1" applyAlignment="1">
      <alignment shrinkToFit="1"/>
    </xf>
    <xf numFmtId="0" fontId="42" fillId="0" borderId="4" xfId="0" applyFont="1" applyBorder="1" applyAlignment="1">
      <alignment horizontal="left" shrinkToFit="1"/>
    </xf>
    <xf numFmtId="0" fontId="42" fillId="0" borderId="0" xfId="0" applyFont="1" applyBorder="1" applyAlignment="1">
      <alignment horizontal="left" shrinkToFit="1"/>
    </xf>
    <xf numFmtId="0" fontId="42" fillId="0" borderId="10" xfId="0" applyFont="1" applyBorder="1" applyAlignment="1">
      <alignment horizontal="left" shrinkToFit="1"/>
    </xf>
    <xf numFmtId="0" fontId="72" fillId="0" borderId="0" xfId="0" applyFont="1" applyAlignment="1">
      <alignment horizontal="center"/>
    </xf>
    <xf numFmtId="0" fontId="41" fillId="0" borderId="0" xfId="0" applyFont="1" applyAlignment="1"/>
    <xf numFmtId="0" fontId="67" fillId="0" borderId="0" xfId="0" applyFont="1" applyAlignment="1">
      <alignment horizontal="center"/>
    </xf>
    <xf numFmtId="0" fontId="77" fillId="0" borderId="0" xfId="0" applyFont="1" applyAlignment="1">
      <alignment horizontal="center"/>
    </xf>
    <xf numFmtId="0" fontId="69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23" fillId="0" borderId="4" xfId="0" applyFont="1" applyBorder="1" applyAlignment="1">
      <alignment horizontal="center" shrinkToFit="1"/>
    </xf>
    <xf numFmtId="1" fontId="23" fillId="0" borderId="4" xfId="0" applyNumberFormat="1" applyFont="1" applyBorder="1" applyAlignment="1">
      <alignment horizontal="left" wrapText="1"/>
    </xf>
    <xf numFmtId="1" fontId="42" fillId="0" borderId="0" xfId="0" applyNumberFormat="1" applyFont="1" applyBorder="1" applyAlignment="1">
      <alignment horizontal="left" wrapText="1"/>
    </xf>
    <xf numFmtId="1" fontId="3" fillId="0" borderId="0" xfId="0" applyNumberFormat="1" applyFont="1" applyFill="1" applyBorder="1" applyAlignment="1">
      <alignment horizontal="center" wrapText="1"/>
    </xf>
    <xf numFmtId="0" fontId="108" fillId="0" borderId="18" xfId="31" applyFont="1" applyBorder="1" applyAlignment="1">
      <alignment horizontal="center" wrapText="1"/>
    </xf>
    <xf numFmtId="0" fontId="108" fillId="0" borderId="19" xfId="31" applyFont="1" applyBorder="1" applyAlignment="1">
      <alignment horizontal="center" wrapText="1"/>
    </xf>
    <xf numFmtId="0" fontId="108" fillId="0" borderId="20" xfId="31" applyFont="1" applyBorder="1" applyAlignment="1">
      <alignment horizontal="center" wrapText="1"/>
    </xf>
    <xf numFmtId="0" fontId="108" fillId="0" borderId="24" xfId="31" applyFont="1" applyBorder="1" applyAlignment="1">
      <alignment horizontal="center" wrapText="1"/>
    </xf>
    <xf numFmtId="0" fontId="108" fillId="0" borderId="0" xfId="31" applyFont="1" applyBorder="1" applyAlignment="1">
      <alignment horizontal="center" wrapText="1"/>
    </xf>
    <xf numFmtId="0" fontId="108" fillId="0" borderId="23" xfId="31" applyFont="1" applyBorder="1" applyAlignment="1">
      <alignment horizontal="center" wrapText="1"/>
    </xf>
    <xf numFmtId="0" fontId="108" fillId="0" borderId="25" xfId="31" applyFont="1" applyBorder="1" applyAlignment="1">
      <alignment horizontal="center" wrapText="1"/>
    </xf>
    <xf numFmtId="0" fontId="108" fillId="0" borderId="26" xfId="31" applyFont="1" applyBorder="1" applyAlignment="1">
      <alignment horizontal="center" wrapText="1"/>
    </xf>
    <xf numFmtId="0" fontId="108" fillId="0" borderId="27" xfId="31" applyFont="1" applyBorder="1" applyAlignment="1">
      <alignment horizontal="center" wrapText="1"/>
    </xf>
    <xf numFmtId="0" fontId="111" fillId="0" borderId="33" xfId="31" applyFont="1" applyBorder="1" applyAlignment="1">
      <alignment horizontal="center" wrapText="1"/>
    </xf>
    <xf numFmtId="0" fontId="111" fillId="0" borderId="30" xfId="31" applyFont="1" applyBorder="1" applyAlignment="1">
      <alignment horizontal="center" wrapText="1"/>
    </xf>
    <xf numFmtId="0" fontId="111" fillId="0" borderId="31" xfId="31" applyFont="1" applyBorder="1" applyAlignment="1">
      <alignment horizontal="center" wrapText="1"/>
    </xf>
    <xf numFmtId="0" fontId="108" fillId="0" borderId="48" xfId="31" applyFont="1" applyBorder="1" applyAlignment="1">
      <alignment horizontal="left" vertical="top" wrapText="1"/>
    </xf>
    <xf numFmtId="0" fontId="108" fillId="0" borderId="49" xfId="31" applyFont="1" applyBorder="1" applyAlignment="1">
      <alignment horizontal="left" vertical="top" wrapText="1"/>
    </xf>
    <xf numFmtId="0" fontId="101" fillId="0" borderId="44" xfId="31" applyFont="1" applyBorder="1" applyAlignment="1">
      <alignment horizontal="left" vertical="top" wrapText="1"/>
    </xf>
    <xf numFmtId="0" fontId="101" fillId="0" borderId="0" xfId="31" applyFont="1" applyBorder="1" applyAlignment="1">
      <alignment horizontal="left" vertical="top" wrapText="1"/>
    </xf>
    <xf numFmtId="0" fontId="108" fillId="0" borderId="0" xfId="31" applyFont="1" applyBorder="1" applyAlignment="1">
      <alignment horizontal="left" vertical="top" wrapText="1"/>
    </xf>
    <xf numFmtId="0" fontId="108" fillId="0" borderId="50" xfId="31" applyFont="1" applyBorder="1" applyAlignment="1">
      <alignment horizontal="left" vertical="top" wrapText="1"/>
    </xf>
    <xf numFmtId="0" fontId="1" fillId="0" borderId="0" xfId="31" applyFont="1" applyAlignment="1">
      <alignment horizontal="right"/>
    </xf>
    <xf numFmtId="0" fontId="111" fillId="0" borderId="0" xfId="31" applyFont="1" applyAlignment="1">
      <alignment horizontal="center" vertical="top"/>
    </xf>
    <xf numFmtId="0" fontId="110" fillId="0" borderId="0" xfId="31" applyFont="1" applyAlignment="1">
      <alignment horizontal="center"/>
    </xf>
    <xf numFmtId="0" fontId="108" fillId="0" borderId="45" xfId="31" applyFont="1" applyBorder="1" applyAlignment="1">
      <alignment horizontal="center"/>
    </xf>
    <xf numFmtId="0" fontId="108" fillId="0" borderId="46" xfId="31" applyFont="1" applyBorder="1" applyAlignment="1">
      <alignment horizontal="left" vertical="top" wrapText="1"/>
    </xf>
    <xf numFmtId="0" fontId="108" fillId="0" borderId="47" xfId="31" applyFont="1" applyBorder="1" applyAlignment="1">
      <alignment horizontal="left" vertical="top" wrapText="1"/>
    </xf>
    <xf numFmtId="0" fontId="4" fillId="0" borderId="0" xfId="0" applyFont="1" applyBorder="1" applyAlignment="1">
      <alignment horizontal="left"/>
    </xf>
    <xf numFmtId="0" fontId="19" fillId="6" borderId="12" xfId="0" applyFont="1" applyFill="1" applyBorder="1" applyAlignment="1">
      <alignment horizontal="left" vertical="top" wrapText="1"/>
    </xf>
    <xf numFmtId="0" fontId="19" fillId="6" borderId="7" xfId="0" applyFont="1" applyFill="1" applyBorder="1" applyAlignment="1">
      <alignment horizontal="left" vertical="top" wrapText="1"/>
    </xf>
    <xf numFmtId="0" fontId="19" fillId="6" borderId="6" xfId="0" applyFont="1" applyFill="1" applyBorder="1" applyAlignment="1">
      <alignment horizontal="left" vertical="top" wrapText="1"/>
    </xf>
    <xf numFmtId="0" fontId="19" fillId="6" borderId="7" xfId="0" applyFont="1" applyFill="1" applyBorder="1" applyAlignment="1">
      <alignment horizontal="right" vertical="top" wrapText="1"/>
    </xf>
    <xf numFmtId="0" fontId="19" fillId="6" borderId="6" xfId="0" applyFont="1" applyFill="1" applyBorder="1" applyAlignment="1">
      <alignment horizontal="right" vertical="top" wrapText="1"/>
    </xf>
    <xf numFmtId="0" fontId="19" fillId="6" borderId="12" xfId="0" applyFont="1" applyFill="1" applyBorder="1" applyAlignment="1">
      <alignment horizontal="right" vertical="top" wrapText="1"/>
    </xf>
    <xf numFmtId="1" fontId="3" fillId="0" borderId="0" xfId="0" applyNumberFormat="1" applyFont="1" applyFill="1" applyBorder="1" applyAlignment="1">
      <alignment horizontal="right" wrapText="1"/>
    </xf>
    <xf numFmtId="4" fontId="3" fillId="0" borderId="0" xfId="0" applyNumberFormat="1" applyFont="1" applyFill="1" applyBorder="1" applyAlignment="1">
      <alignment horizontal="center" wrapText="1"/>
    </xf>
    <xf numFmtId="0" fontId="45" fillId="6" borderId="12" xfId="0" applyFont="1" applyFill="1" applyBorder="1" applyAlignment="1">
      <alignment horizontal="left" vertical="top" wrapText="1"/>
    </xf>
    <xf numFmtId="0" fontId="45" fillId="6" borderId="7" xfId="0" applyFont="1" applyFill="1" applyBorder="1" applyAlignment="1">
      <alignment horizontal="left" vertical="top" wrapText="1"/>
    </xf>
    <xf numFmtId="0" fontId="45" fillId="6" borderId="6" xfId="0" applyFont="1" applyFill="1" applyBorder="1" applyAlignment="1">
      <alignment horizontal="left" vertical="top" wrapText="1"/>
    </xf>
    <xf numFmtId="166" fontId="10" fillId="6" borderId="2" xfId="0" applyNumberFormat="1" applyFont="1" applyFill="1" applyBorder="1" applyAlignment="1">
      <alignment horizontal="center" vertical="top" wrapText="1"/>
    </xf>
    <xf numFmtId="166" fontId="10" fillId="6" borderId="3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Fill="1" applyBorder="1" applyAlignment="1">
      <alignment horizontal="left"/>
    </xf>
    <xf numFmtId="0" fontId="20" fillId="6" borderId="12" xfId="0" applyFont="1" applyFill="1" applyBorder="1" applyAlignment="1">
      <alignment horizontal="left" vertical="top" wrapText="1"/>
    </xf>
    <xf numFmtId="0" fontId="20" fillId="6" borderId="7" xfId="0" applyFont="1" applyFill="1" applyBorder="1" applyAlignment="1">
      <alignment horizontal="left" vertical="top" wrapText="1"/>
    </xf>
    <xf numFmtId="0" fontId="20" fillId="6" borderId="6" xfId="0" applyFont="1" applyFill="1" applyBorder="1" applyAlignment="1">
      <alignment horizontal="left" vertical="top" wrapText="1"/>
    </xf>
    <xf numFmtId="0" fontId="13" fillId="6" borderId="2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center"/>
    </xf>
    <xf numFmtId="164" fontId="20" fillId="0" borderId="0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 vertical="top"/>
    </xf>
    <xf numFmtId="0" fontId="20" fillId="0" borderId="0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/>
    </xf>
    <xf numFmtId="49" fontId="5" fillId="6" borderId="2" xfId="0" applyNumberFormat="1" applyFont="1" applyFill="1" applyBorder="1" applyAlignment="1">
      <alignment horizontal="center" vertical="top" wrapText="1"/>
    </xf>
    <xf numFmtId="49" fontId="5" fillId="6" borderId="3" xfId="0" applyNumberFormat="1" applyFont="1" applyFill="1" applyBorder="1" applyAlignment="1">
      <alignment horizontal="center" vertical="top" wrapText="1"/>
    </xf>
    <xf numFmtId="0" fontId="8" fillId="6" borderId="2" xfId="0" applyFont="1" applyFill="1" applyBorder="1" applyAlignment="1">
      <alignment horizontal="center" vertical="top" wrapText="1"/>
    </xf>
    <xf numFmtId="0" fontId="8" fillId="6" borderId="3" xfId="0" applyFont="1" applyFill="1" applyBorder="1" applyAlignment="1">
      <alignment horizontal="center" vertical="top" wrapText="1"/>
    </xf>
    <xf numFmtId="0" fontId="45" fillId="6" borderId="12" xfId="0" applyFont="1" applyFill="1" applyBorder="1" applyAlignment="1">
      <alignment horizontal="right" vertical="top" wrapText="1"/>
    </xf>
    <xf numFmtId="0" fontId="45" fillId="6" borderId="6" xfId="0" applyFont="1" applyFill="1" applyBorder="1" applyAlignment="1">
      <alignment horizontal="right" vertical="top" wrapText="1"/>
    </xf>
    <xf numFmtId="0" fontId="92" fillId="0" borderId="0" xfId="0" applyFont="1" applyBorder="1" applyAlignment="1">
      <alignment horizontal="left"/>
    </xf>
    <xf numFmtId="0" fontId="18" fillId="0" borderId="8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center" vertical="top" wrapText="1"/>
    </xf>
    <xf numFmtId="0" fontId="18" fillId="0" borderId="3" xfId="0" applyFont="1" applyFill="1" applyBorder="1" applyAlignment="1">
      <alignment horizontal="center" vertical="top" wrapText="1"/>
    </xf>
    <xf numFmtId="4" fontId="3" fillId="6" borderId="0" xfId="0" applyNumberFormat="1" applyFont="1" applyFill="1" applyBorder="1" applyAlignment="1">
      <alignment horizontal="center" wrapText="1"/>
    </xf>
    <xf numFmtId="1" fontId="3" fillId="6" borderId="0" xfId="0" applyNumberFormat="1" applyFont="1" applyFill="1" applyBorder="1" applyAlignment="1">
      <alignment horizontal="right" wrapText="1"/>
    </xf>
    <xf numFmtId="49" fontId="8" fillId="0" borderId="8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18" fillId="0" borderId="8" xfId="0" applyFont="1" applyFill="1" applyBorder="1" applyAlignment="1">
      <alignment horizontal="center" vertical="top"/>
    </xf>
    <xf numFmtId="0" fontId="18" fillId="0" borderId="2" xfId="0" applyFont="1" applyFill="1" applyBorder="1" applyAlignment="1">
      <alignment horizontal="center" vertical="top"/>
    </xf>
    <xf numFmtId="0" fontId="18" fillId="0" borderId="3" xfId="0" applyFont="1" applyFill="1" applyBorder="1" applyAlignment="1">
      <alignment horizontal="center" vertical="top"/>
    </xf>
    <xf numFmtId="0" fontId="18" fillId="6" borderId="8" xfId="0" applyFont="1" applyFill="1" applyBorder="1" applyAlignment="1">
      <alignment horizontal="center" vertical="top" wrapText="1"/>
    </xf>
    <xf numFmtId="0" fontId="18" fillId="6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center" vertical="top"/>
    </xf>
    <xf numFmtId="0" fontId="18" fillId="0" borderId="10" xfId="0" applyFont="1" applyFill="1" applyBorder="1" applyAlignment="1">
      <alignment horizontal="center" vertical="top"/>
    </xf>
    <xf numFmtId="0" fontId="18" fillId="0" borderId="16" xfId="0" applyFont="1" applyFill="1" applyBorder="1" applyAlignment="1">
      <alignment horizontal="center" vertical="top"/>
    </xf>
    <xf numFmtId="0" fontId="18" fillId="0" borderId="13" xfId="0" applyFont="1" applyFill="1" applyBorder="1" applyAlignment="1">
      <alignment horizontal="center" vertical="top"/>
    </xf>
    <xf numFmtId="0" fontId="18" fillId="0" borderId="4" xfId="0" applyFont="1" applyFill="1" applyBorder="1" applyAlignment="1">
      <alignment horizontal="center" vertical="top"/>
    </xf>
    <xf numFmtId="0" fontId="18" fillId="0" borderId="15" xfId="0" applyFont="1" applyFill="1" applyBorder="1" applyAlignment="1">
      <alignment horizontal="center" vertical="top"/>
    </xf>
    <xf numFmtId="0" fontId="5" fillId="0" borderId="36" xfId="27" applyFont="1" applyBorder="1" applyAlignment="1">
      <alignment horizontal="left" wrapText="1"/>
    </xf>
    <xf numFmtId="0" fontId="5" fillId="0" borderId="38" xfId="27" applyFont="1" applyBorder="1" applyAlignment="1">
      <alignment horizontal="left" wrapText="1"/>
    </xf>
    <xf numFmtId="0" fontId="5" fillId="0" borderId="37" xfId="27" applyFont="1" applyBorder="1" applyAlignment="1">
      <alignment horizontal="left" wrapText="1"/>
    </xf>
    <xf numFmtId="1" fontId="17" fillId="0" borderId="0" xfId="0" applyNumberFormat="1" applyFont="1" applyFill="1" applyBorder="1" applyAlignment="1">
      <alignment horizontal="left" wrapText="1"/>
    </xf>
    <xf numFmtId="49" fontId="6" fillId="0" borderId="36" xfId="27" applyNumberFormat="1" applyFont="1" applyBorder="1" applyAlignment="1">
      <alignment wrapText="1"/>
    </xf>
    <xf numFmtId="49" fontId="6" fillId="0" borderId="38" xfId="27" applyNumberFormat="1" applyFont="1" applyBorder="1" applyAlignment="1">
      <alignment wrapText="1"/>
    </xf>
    <xf numFmtId="49" fontId="6" fillId="0" borderId="37" xfId="27" applyNumberFormat="1" applyFont="1" applyBorder="1" applyAlignment="1">
      <alignment wrapText="1"/>
    </xf>
    <xf numFmtId="49" fontId="6" fillId="0" borderId="5" xfId="27" applyNumberFormat="1" applyFont="1" applyBorder="1" applyAlignment="1">
      <alignment horizontal="left" wrapText="1"/>
    </xf>
    <xf numFmtId="49" fontId="6" fillId="0" borderId="5" xfId="27" applyNumberFormat="1" applyFont="1" applyFill="1" applyBorder="1" applyAlignment="1">
      <alignment horizontal="left" wrapText="1"/>
    </xf>
    <xf numFmtId="0" fontId="5" fillId="0" borderId="0" xfId="27" applyFont="1" applyAlignment="1">
      <alignment horizontal="left" wrapText="1"/>
    </xf>
    <xf numFmtId="0" fontId="5" fillId="0" borderId="0" xfId="27" applyFont="1" applyAlignment="1">
      <alignment horizontal="justify" wrapText="1"/>
    </xf>
    <xf numFmtId="0" fontId="56" fillId="0" borderId="12" xfId="27" applyFont="1" applyBorder="1" applyAlignment="1">
      <alignment horizontal="center" vertical="center" wrapText="1"/>
    </xf>
    <xf numFmtId="0" fontId="56" fillId="0" borderId="7" xfId="27" applyFont="1" applyBorder="1" applyAlignment="1">
      <alignment horizontal="center" vertical="center" wrapText="1"/>
    </xf>
    <xf numFmtId="0" fontId="56" fillId="0" borderId="6" xfId="27" applyFont="1" applyBorder="1" applyAlignment="1">
      <alignment horizontal="center" vertical="center" wrapText="1"/>
    </xf>
    <xf numFmtId="0" fontId="24" fillId="0" borderId="40" xfId="27" applyFont="1" applyBorder="1" applyAlignment="1">
      <alignment horizontal="left" wrapText="1"/>
    </xf>
    <xf numFmtId="0" fontId="24" fillId="0" borderId="41" xfId="27" applyFont="1" applyBorder="1" applyAlignment="1">
      <alignment horizontal="left" wrapText="1"/>
    </xf>
    <xf numFmtId="0" fontId="24" fillId="0" borderId="42" xfId="27" applyFont="1" applyBorder="1" applyAlignment="1">
      <alignment horizontal="left" wrapText="1"/>
    </xf>
    <xf numFmtId="0" fontId="7" fillId="0" borderId="0" xfId="27" applyFont="1" applyFill="1" applyAlignment="1">
      <alignment horizontal="center"/>
    </xf>
    <xf numFmtId="0" fontId="10" fillId="0" borderId="0" xfId="27" applyFont="1" applyAlignment="1">
      <alignment horizontal="center"/>
    </xf>
    <xf numFmtId="0" fontId="10" fillId="0" borderId="0" xfId="27" applyFont="1" applyAlignment="1">
      <alignment horizontal="center" vertical="top" wrapText="1"/>
    </xf>
    <xf numFmtId="0" fontId="5" fillId="0" borderId="0" xfId="27" applyFont="1" applyAlignment="1">
      <alignment horizontal="left" vertical="top" wrapText="1"/>
    </xf>
    <xf numFmtId="0" fontId="20" fillId="0" borderId="0" xfId="27" applyFont="1" applyAlignment="1">
      <alignment horizontal="left" vertical="top" wrapText="1"/>
    </xf>
    <xf numFmtId="0" fontId="4" fillId="0" borderId="0" xfId="0" applyFont="1" applyBorder="1" applyAlignment="1">
      <alignment horizontal="right"/>
    </xf>
    <xf numFmtId="0" fontId="6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left" vertical="top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3" fillId="0" borderId="0" xfId="0" applyFont="1" applyFill="1" applyAlignment="1">
      <alignment horizontal="left" wrapText="1"/>
    </xf>
    <xf numFmtId="0" fontId="17" fillId="0" borderId="0" xfId="0" applyFont="1" applyAlignment="1">
      <alignment horizontal="right"/>
    </xf>
    <xf numFmtId="0" fontId="10" fillId="0" borderId="0" xfId="0" applyFont="1" applyFill="1" applyAlignment="1">
      <alignment horizontal="left" vertical="top" wrapText="1"/>
    </xf>
    <xf numFmtId="0" fontId="102" fillId="6" borderId="2" xfId="0" applyFont="1" applyFill="1" applyBorder="1" applyAlignment="1">
      <alignment horizontal="left" vertical="top" wrapText="1"/>
    </xf>
    <xf numFmtId="0" fontId="13" fillId="6" borderId="3" xfId="0" applyFont="1" applyFill="1" applyBorder="1" applyAlignment="1">
      <alignment horizontal="left" vertical="top" wrapText="1"/>
    </xf>
    <xf numFmtId="0" fontId="17" fillId="0" borderId="0" xfId="65" applyNumberFormat="1" applyFont="1" applyAlignment="1">
      <alignment horizontal="left" wrapText="1"/>
    </xf>
    <xf numFmtId="0" fontId="17" fillId="0" borderId="0" xfId="65" applyNumberFormat="1" applyFont="1" applyAlignment="1">
      <alignment horizontal="left" vertical="top" wrapText="1"/>
    </xf>
    <xf numFmtId="0" fontId="116" fillId="0" borderId="0" xfId="65" applyNumberFormat="1" applyFont="1" applyBorder="1" applyAlignment="1">
      <alignment horizontal="right" vertical="top" wrapText="1"/>
    </xf>
    <xf numFmtId="0" fontId="20" fillId="0" borderId="0" xfId="65" applyNumberFormat="1" applyFont="1" applyBorder="1" applyAlignment="1">
      <alignment horizontal="center" vertical="top" wrapText="1"/>
    </xf>
    <xf numFmtId="0" fontId="17" fillId="0" borderId="0" xfId="65" applyNumberFormat="1" applyFont="1" applyBorder="1" applyAlignment="1">
      <alignment horizontal="center" vertical="center"/>
    </xf>
    <xf numFmtId="0" fontId="17" fillId="0" borderId="0" xfId="65" applyNumberFormat="1" applyFont="1" applyBorder="1" applyAlignment="1">
      <alignment horizontal="left" vertical="top" wrapText="1"/>
    </xf>
    <xf numFmtId="0" fontId="20" fillId="0" borderId="0" xfId="65" applyNumberFormat="1" applyFont="1" applyBorder="1" applyAlignment="1">
      <alignment horizontal="left" vertical="top" wrapText="1"/>
    </xf>
    <xf numFmtId="0" fontId="4" fillId="0" borderId="0" xfId="0" applyFont="1" applyFill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7" fillId="0" borderId="12" xfId="0" applyFont="1" applyBorder="1" applyAlignment="1">
      <alignment horizontal="left" vertical="center" wrapText="1"/>
    </xf>
    <xf numFmtId="0" fontId="47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5" xfId="0" applyFont="1" applyBorder="1" applyAlignment="1">
      <alignment horizontal="left" wrapText="1"/>
    </xf>
    <xf numFmtId="0" fontId="47" fillId="0" borderId="12" xfId="0" applyFont="1" applyBorder="1" applyAlignment="1">
      <alignment horizontal="center" vertical="center" wrapText="1"/>
    </xf>
    <xf numFmtId="0" fontId="47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46" fillId="0" borderId="0" xfId="0" applyFont="1" applyFill="1" applyBorder="1" applyAlignment="1">
      <alignment horizontal="left"/>
    </xf>
    <xf numFmtId="0" fontId="47" fillId="0" borderId="12" xfId="0" applyFont="1" applyBorder="1" applyAlignment="1">
      <alignment horizontal="left" wrapText="1"/>
    </xf>
    <xf numFmtId="0" fontId="47" fillId="0" borderId="7" xfId="0" applyFont="1" applyBorder="1" applyAlignment="1">
      <alignment horizontal="left" wrapText="1"/>
    </xf>
    <xf numFmtId="0" fontId="3" fillId="6" borderId="0" xfId="0" applyFont="1" applyFill="1" applyAlignment="1">
      <alignment horizontal="center"/>
    </xf>
  </cellXfs>
  <cellStyles count="66">
    <cellStyle name="_403.06 Нефтеналив Муравленковское с изм. кл.планом" xfId="1"/>
    <cellStyle name="_427.07 материалы градостр. планов в формате Мapinfo." xfId="2"/>
    <cellStyle name="_525.07 Сети Ватинского мр. кор.проекта" xfId="3"/>
    <cellStyle name="_Западно-Асомкасети переобвязка скв." xfId="4"/>
    <cellStyle name="_Кальк. СН-МНГ" xfId="5"/>
    <cellStyle name="_Сметы 502.07.1  ДОП ОТКОР ПО ЗАМЕЧ ЗАК д.с.2 РД к188" xfId="6"/>
    <cellStyle name="_СМЕТЫ Об Сортым. пл. Зап-Асомк. мр Столовая. Помещ для вахт перс" xfId="7"/>
    <cellStyle name="_ТХ П" xfId="8"/>
    <cellStyle name="_ТХ РВС ДНС2 Зап Асомк. мр." xfId="9"/>
    <cellStyle name="Comma [0]" xfId="10"/>
    <cellStyle name="Comma_laroux" xfId="11"/>
    <cellStyle name="Currency [0]" xfId="12"/>
    <cellStyle name="Currency_laroux" xfId="13"/>
    <cellStyle name="normal" xfId="14"/>
    <cellStyle name="S0" xfId="15"/>
    <cellStyle name="S1" xfId="64"/>
    <cellStyle name="S10" xfId="62"/>
    <cellStyle name="S11 2" xfId="63"/>
    <cellStyle name="S2" xfId="55"/>
    <cellStyle name="S3" xfId="56"/>
    <cellStyle name="S4" xfId="57"/>
    <cellStyle name="S6" xfId="58"/>
    <cellStyle name="S7" xfId="59"/>
    <cellStyle name="S8" xfId="60"/>
    <cellStyle name="S9" xfId="61"/>
    <cellStyle name="Дата" xfId="16"/>
    <cellStyle name="Денежный [0] 2" xfId="17"/>
    <cellStyle name="Денежный 2" xfId="18"/>
    <cellStyle name="Денежный 3" xfId="19"/>
    <cellStyle name="ЗАГОЛОВОК1" xfId="20"/>
    <cellStyle name="ЗАГОЛОВОК2" xfId="21"/>
    <cellStyle name="ИТОГОВЫЙ" xfId="22"/>
    <cellStyle name="Обычный" xfId="0" builtinId="0"/>
    <cellStyle name="Обычный 10 2 2 5" xfId="65"/>
    <cellStyle name="Обычный 10 7 2 2" xfId="52"/>
    <cellStyle name="Обычный 10_138.11 Электроснаб. ЗУБ " xfId="54"/>
    <cellStyle name="Обычный 11 2 2" xfId="53"/>
    <cellStyle name="Обычный 2" xfId="23"/>
    <cellStyle name="Обычный 2 2" xfId="24"/>
    <cellStyle name="Обычный 2 2 2" xfId="25"/>
    <cellStyle name="Обычный 2 2 2 2" xfId="26"/>
    <cellStyle name="Обычный 2 2 2 3" xfId="27"/>
    <cellStyle name="Обычный 2 2 3" xfId="28"/>
    <cellStyle name="Обычный 2 3" xfId="29"/>
    <cellStyle name="Обычный 2 3 2" xfId="30"/>
    <cellStyle name="Обычный 2 4" xfId="31"/>
    <cellStyle name="Обычный 3" xfId="32"/>
    <cellStyle name="Обычный 3 2" xfId="33"/>
    <cellStyle name="Обычный 3 3" xfId="34"/>
    <cellStyle name="Обычный 4" xfId="35"/>
    <cellStyle name="Обычный 5" xfId="36"/>
    <cellStyle name="Обычный 6" xfId="37"/>
    <cellStyle name="Обычный 7" xfId="50"/>
    <cellStyle name="Обычный 7 2" xfId="49"/>
    <cellStyle name="Перенос" xfId="38"/>
    <cellStyle name="Процентный 2" xfId="39"/>
    <cellStyle name="Процентный 3" xfId="51"/>
    <cellStyle name="Среднее" xfId="40"/>
    <cellStyle name="Стиль 1" xfId="41"/>
    <cellStyle name="Стиль 1 2" xfId="42"/>
    <cellStyle name="ТЕКСТ" xfId="43"/>
    <cellStyle name="Тысячи [0]_laroux" xfId="44"/>
    <cellStyle name="Тысячи_laroux" xfId="45"/>
    <cellStyle name="ФИКСИРОВАННЫЙ" xfId="46"/>
    <cellStyle name="Финансовый [0] 2" xfId="47"/>
    <cellStyle name="Финансовый 2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gip05/&#1056;&#1072;&#1073;&#1086;&#1095;&#1080;&#1081;%20&#1089;&#1090;&#1086;&#1083;/&#1050;&#1091;&#1089;&#1090;&#1099;%20&#1057;&#1053;-&#1052;&#1053;&#1043;/&#1050;&#1055;-57%20&#1089;&#1084;&#1077;&#1090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SD/&#1052;&#1086;&#1080;%20&#1076;&#1086;&#1082;&#1091;&#1084;&#1077;&#1085;&#1090;&#1099;/&#1044;&#1086;&#1075;&#1086;&#1074;&#1086;&#1088;&#1099;%202008/&#1052;&#1072;&#1091;&#1088;&#1095;&#1077;&#1074;/&#1044;&#1086;&#1075;&#1086;&#1074;&#1086;&#1088;&#1099;/381-07%20&#1089;&#1084;&#1077;&#1090;&#109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s/&#1052;&#1086;&#1080;%20&#1076;&#1086;&#1082;&#1091;&#1084;&#1077;&#1085;&#1090;&#1099;/&#1044;&#1086;&#1075;&#1086;&#1074;&#1086;&#1088;&#1099;%202013/&#1053;&#1072;&#1081;&#1076;&#1077;&#1085;&#1086;&#1074;%20&#1040;.&#1057;/&#1044;&#1086;&#1075;&#1086;&#1074;&#1086;&#1088;&#1099;/926-13/926-13%20&#1089;&#1084;&#1077;&#1090;&#1072;%20&#1082;&#1086;&#1088;&#108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омость"/>
      <sheetName val="см1"/>
      <sheetName val="см2"/>
      <sheetName val="см3"/>
      <sheetName val="см 4"/>
      <sheetName val="кал 1"/>
      <sheetName val="расш.1"/>
      <sheetName val="см 5"/>
      <sheetName val="см 6П"/>
      <sheetName val="АСУТП 1"/>
      <sheetName val="см 7"/>
      <sheetName val="см 8"/>
      <sheetName val="см9"/>
      <sheetName val="см 10РД"/>
      <sheetName val="см 11"/>
      <sheetName val="кал2"/>
      <sheetName val="расш 2"/>
      <sheetName val="кал 3"/>
      <sheetName val="расш 3"/>
      <sheetName val="кал 4"/>
      <sheetName val="расш 4"/>
      <sheetName val="Расчет 2"/>
    </sheetNames>
    <sheetDataSet>
      <sheetData sheetId="0"/>
      <sheetData sheetId="1">
        <row r="98">
          <cell r="A98" t="str">
            <v>Инженер II категории ОЦиПТД по КСиРО</v>
          </cell>
        </row>
      </sheetData>
      <sheetData sheetId="2"/>
      <sheetData sheetId="3">
        <row r="47">
          <cell r="A47" t="str">
            <v>Инженер I категории отдела ОПИР</v>
          </cell>
        </row>
      </sheetData>
      <sheetData sheetId="4"/>
      <sheetData sheetId="5"/>
      <sheetData sheetId="6"/>
      <sheetData sheetId="7">
        <row r="72">
          <cell r="G72">
            <v>163.22200000000001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работ"/>
      <sheetName val="смета сводная"/>
      <sheetName val="смета №8"/>
      <sheetName val="смета №9 "/>
      <sheetName val="смета №10"/>
    </sheetNames>
    <sheetDataSet>
      <sheetData sheetId="0"/>
      <sheetData sheetId="1"/>
      <sheetData sheetId="2"/>
      <sheetData sheetId="3" refreshError="1">
        <row r="14">
          <cell r="D14" t="str">
            <v>ОАО “СН-МНГ”</v>
          </cell>
        </row>
      </sheetData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."/>
      <sheetName val="см1"/>
      <sheetName val="см2"/>
      <sheetName val="см 3"/>
      <sheetName val="см 4"/>
      <sheetName val="к1"/>
      <sheetName val="р1"/>
      <sheetName val="см 5"/>
      <sheetName val="см 6П"/>
      <sheetName val="рас1.1АСУТП"/>
      <sheetName val="рас1.2АСУТП"/>
      <sheetName val="рас1.3АСУТП"/>
      <sheetName val="рас1.4АСУТП "/>
      <sheetName val="см   7"/>
      <sheetName val="см8"/>
      <sheetName val="см 9"/>
      <sheetName val="см 10"/>
      <sheetName val="рас 2"/>
      <sheetName val="кал 4"/>
      <sheetName val="расш 4"/>
      <sheetName val="см 11РД"/>
      <sheetName val="Рас 3"/>
      <sheetName val="Рас 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2">
          <cell r="C12">
            <v>3</v>
          </cell>
          <cell r="E12">
            <v>32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4"/>
  <sheetViews>
    <sheetView tabSelected="1" view="pageBreakPreview" topLeftCell="A9" zoomScaleNormal="100" zoomScaleSheetLayoutView="100" workbookViewId="0">
      <selection activeCell="F31" sqref="F31"/>
    </sheetView>
  </sheetViews>
  <sheetFormatPr defaultRowHeight="12.75"/>
  <cols>
    <col min="1" max="1" width="5.5703125" style="117" customWidth="1"/>
    <col min="2" max="2" width="51.42578125" style="98" customWidth="1"/>
    <col min="3" max="3" width="21.7109375" style="98" customWidth="1"/>
    <col min="4" max="4" width="17.5703125" style="98" customWidth="1"/>
    <col min="5" max="5" width="13.85546875" style="98" bestFit="1" customWidth="1"/>
    <col min="6" max="6" width="9.140625" style="98"/>
    <col min="7" max="7" width="10.140625" style="98" bestFit="1" customWidth="1"/>
    <col min="8" max="16384" width="9.140625" style="98"/>
  </cols>
  <sheetData>
    <row r="1" spans="1:4" ht="16.5" hidden="1" customHeight="1">
      <c r="A1" s="96"/>
      <c r="B1" s="97"/>
      <c r="C1" s="97"/>
      <c r="D1" s="97" t="s">
        <v>660</v>
      </c>
    </row>
    <row r="2" spans="1:4" ht="15.75" hidden="1">
      <c r="A2" s="96"/>
      <c r="B2" s="97"/>
      <c r="C2" s="97"/>
      <c r="D2" s="97" t="s">
        <v>661</v>
      </c>
    </row>
    <row r="3" spans="1:4" ht="15.75">
      <c r="A3" s="96"/>
      <c r="B3" s="97"/>
      <c r="C3" s="97"/>
      <c r="D3" s="97"/>
    </row>
    <row r="4" spans="1:4" ht="15.75">
      <c r="A4" s="96"/>
      <c r="B4" s="97"/>
      <c r="C4" s="97"/>
      <c r="D4" s="97"/>
    </row>
    <row r="5" spans="1:4" s="116" customFormat="1" ht="19.5" customHeight="1">
      <c r="A5" s="1062" t="s">
        <v>665</v>
      </c>
      <c r="B5" s="1062"/>
      <c r="C5" s="1062"/>
      <c r="D5" s="1062"/>
    </row>
    <row r="6" spans="1:4" s="116" customFormat="1" ht="15.75">
      <c r="A6" s="1063"/>
      <c r="B6" s="1063"/>
      <c r="C6" s="1063"/>
      <c r="D6" s="1063"/>
    </row>
    <row r="7" spans="1:4" s="53" customFormat="1" ht="50.25" customHeight="1">
      <c r="A7" s="55" t="s">
        <v>18</v>
      </c>
      <c r="B7" s="55"/>
      <c r="C7" s="1064" t="s">
        <v>797</v>
      </c>
      <c r="D7" s="1064"/>
    </row>
    <row r="8" spans="1:4" s="86" customFormat="1" ht="18.75" customHeight="1">
      <c r="A8" s="56" t="s">
        <v>101</v>
      </c>
      <c r="B8" s="56"/>
      <c r="C8" s="47" t="s">
        <v>102</v>
      </c>
      <c r="D8" s="47"/>
    </row>
    <row r="9" spans="1:4" s="116" customFormat="1" ht="15" customHeight="1">
      <c r="A9" s="99"/>
    </row>
    <row r="10" spans="1:4" s="116" customFormat="1" ht="15.75">
      <c r="A10" s="1065" t="s">
        <v>105</v>
      </c>
      <c r="B10" s="1065"/>
      <c r="C10" s="101"/>
      <c r="D10" s="102"/>
    </row>
    <row r="11" spans="1:4" s="116" customFormat="1" ht="15.75">
      <c r="A11" s="1065" t="s">
        <v>106</v>
      </c>
      <c r="B11" s="1065"/>
      <c r="C11" s="1066" t="s">
        <v>17</v>
      </c>
      <c r="D11" s="1066"/>
    </row>
    <row r="12" spans="1:4" s="116" customFormat="1" ht="12" customHeight="1">
      <c r="A12" s="103"/>
      <c r="B12" s="100"/>
      <c r="C12" s="102"/>
      <c r="D12" s="102"/>
    </row>
    <row r="13" spans="1:4" s="119" customFormat="1" ht="35.25" customHeight="1">
      <c r="A13" s="104" t="s">
        <v>32</v>
      </c>
      <c r="B13" s="105" t="s">
        <v>18</v>
      </c>
      <c r="C13" s="105" t="s">
        <v>434</v>
      </c>
      <c r="D13" s="105" t="s">
        <v>136</v>
      </c>
    </row>
    <row r="14" spans="1:4" s="119" customFormat="1" ht="15.75">
      <c r="A14" s="104">
        <v>1</v>
      </c>
      <c r="B14" s="105">
        <v>2</v>
      </c>
      <c r="C14" s="105">
        <v>3</v>
      </c>
      <c r="D14" s="105">
        <v>4</v>
      </c>
    </row>
    <row r="15" spans="1:4" s="116" customFormat="1" ht="15">
      <c r="A15" s="505" t="s">
        <v>4</v>
      </c>
      <c r="B15" s="506" t="s">
        <v>415</v>
      </c>
      <c r="C15" s="106"/>
      <c r="D15" s="106"/>
    </row>
    <row r="16" spans="1:4" s="116" customFormat="1" ht="15">
      <c r="A16" s="716" t="s">
        <v>10</v>
      </c>
      <c r="B16" s="869" t="s">
        <v>561</v>
      </c>
      <c r="C16" s="870" t="s">
        <v>602</v>
      </c>
      <c r="D16" s="871">
        <f>SUM(см1!O96)</f>
        <v>0</v>
      </c>
    </row>
    <row r="17" spans="1:4" s="116" customFormat="1" ht="15">
      <c r="A17" s="716" t="s">
        <v>12</v>
      </c>
      <c r="B17" s="869" t="s">
        <v>562</v>
      </c>
      <c r="C17" s="870" t="s">
        <v>656</v>
      </c>
      <c r="D17" s="871">
        <f>SUM(см2!N170)*1000</f>
        <v>0</v>
      </c>
    </row>
    <row r="18" spans="1:4" s="116" customFormat="1" ht="15">
      <c r="A18" s="874" t="s">
        <v>13</v>
      </c>
      <c r="B18" s="980" t="s">
        <v>563</v>
      </c>
      <c r="C18" s="981" t="s">
        <v>657</v>
      </c>
      <c r="D18" s="871">
        <f>см3!G24</f>
        <v>0</v>
      </c>
    </row>
    <row r="19" spans="1:4" s="116" customFormat="1" ht="15">
      <c r="A19" s="874" t="s">
        <v>14</v>
      </c>
      <c r="B19" s="869" t="s">
        <v>564</v>
      </c>
      <c r="C19" s="872" t="s">
        <v>658</v>
      </c>
      <c r="D19" s="873">
        <f>SUM('см 4'!G117)*1000</f>
        <v>0</v>
      </c>
    </row>
    <row r="20" spans="1:4" s="116" customFormat="1" ht="18.75" customHeight="1">
      <c r="A20" s="894"/>
      <c r="B20" s="663" t="s">
        <v>416</v>
      </c>
      <c r="C20" s="868"/>
      <c r="D20" s="678">
        <f>SUM(D16:D19)</f>
        <v>0</v>
      </c>
    </row>
    <row r="21" spans="1:4" s="116" customFormat="1" ht="15">
      <c r="A21" s="716" t="s">
        <v>5</v>
      </c>
      <c r="B21" s="715" t="s">
        <v>531</v>
      </c>
      <c r="C21" s="872" t="s">
        <v>788</v>
      </c>
      <c r="D21" s="849">
        <f>SUM('см 5П'!G102)*1000</f>
        <v>0</v>
      </c>
    </row>
    <row r="22" spans="1:4" s="116" customFormat="1" ht="15">
      <c r="A22" s="716" t="s">
        <v>6</v>
      </c>
      <c r="B22" s="733" t="s">
        <v>533</v>
      </c>
      <c r="C22" s="875" t="s">
        <v>789</v>
      </c>
      <c r="D22" s="849">
        <f>SUM('см 5П'!G103)*1000</f>
        <v>0</v>
      </c>
    </row>
    <row r="23" spans="1:4" s="116" customFormat="1" ht="30" hidden="1">
      <c r="A23" s="716" t="s">
        <v>7</v>
      </c>
      <c r="B23" s="876" t="s">
        <v>565</v>
      </c>
      <c r="C23" s="875" t="s">
        <v>668</v>
      </c>
      <c r="D23" s="849">
        <v>0</v>
      </c>
    </row>
    <row r="24" spans="1:4" s="116" customFormat="1" ht="31.5" customHeight="1">
      <c r="A24" s="716" t="s">
        <v>7</v>
      </c>
      <c r="B24" s="733" t="s">
        <v>566</v>
      </c>
      <c r="C24" s="875" t="s">
        <v>733</v>
      </c>
      <c r="D24" s="849">
        <f>SUM('см 6'!G23)*1000</f>
        <v>0</v>
      </c>
    </row>
    <row r="25" spans="1:4" s="116" customFormat="1" ht="30">
      <c r="A25" s="716" t="s">
        <v>8</v>
      </c>
      <c r="B25" s="216" t="s">
        <v>567</v>
      </c>
      <c r="C25" s="875" t="s">
        <v>589</v>
      </c>
      <c r="D25" s="849">
        <f>SUM(см7!E32)</f>
        <v>0</v>
      </c>
    </row>
    <row r="26" spans="1:4" s="116" customFormat="1" ht="15" hidden="1">
      <c r="A26" s="716" t="s">
        <v>65</v>
      </c>
      <c r="B26" s="877" t="s">
        <v>568</v>
      </c>
      <c r="C26" s="875" t="s">
        <v>590</v>
      </c>
      <c r="D26" s="849">
        <f>SUM(см8!G28)*1000</f>
        <v>15059</v>
      </c>
    </row>
    <row r="27" spans="1:4" s="116" customFormat="1" ht="15">
      <c r="A27" s="716" t="s">
        <v>65</v>
      </c>
      <c r="B27" s="734" t="s">
        <v>532</v>
      </c>
      <c r="C27" s="875" t="s">
        <v>826</v>
      </c>
      <c r="D27" s="849">
        <f>SUM('см 8РД'!G108)*1000</f>
        <v>0</v>
      </c>
    </row>
    <row r="28" spans="1:4" s="116" customFormat="1" ht="30" hidden="1">
      <c r="A28" s="716" t="s">
        <v>258</v>
      </c>
      <c r="B28" s="876" t="s">
        <v>569</v>
      </c>
      <c r="C28" s="875" t="s">
        <v>669</v>
      </c>
      <c r="D28" s="849">
        <v>0</v>
      </c>
    </row>
    <row r="29" spans="1:4" s="116" customFormat="1" ht="15">
      <c r="A29" s="716" t="s">
        <v>93</v>
      </c>
      <c r="B29" s="735" t="s">
        <v>570</v>
      </c>
      <c r="C29" s="875" t="s">
        <v>827</v>
      </c>
      <c r="D29" s="849">
        <f>SUM('см 9'!G34)*1000</f>
        <v>0</v>
      </c>
    </row>
    <row r="30" spans="1:4" s="116" customFormat="1" ht="15">
      <c r="A30" s="716" t="s">
        <v>95</v>
      </c>
      <c r="B30" s="982" t="s">
        <v>735</v>
      </c>
      <c r="C30" s="875" t="s">
        <v>591</v>
      </c>
      <c r="D30" s="871">
        <f>SUM('кал 2'!P36)*1000</f>
        <v>0</v>
      </c>
    </row>
    <row r="31" spans="1:4" s="116" customFormat="1" ht="15">
      <c r="A31" s="716" t="s">
        <v>258</v>
      </c>
      <c r="B31" s="982" t="s">
        <v>540</v>
      </c>
      <c r="C31" s="875" t="s">
        <v>734</v>
      </c>
      <c r="D31" s="871">
        <f>'см 10'!E19</f>
        <v>0</v>
      </c>
    </row>
    <row r="32" spans="1:4" s="116" customFormat="1" ht="15">
      <c r="A32" s="716"/>
      <c r="B32" s="663" t="s">
        <v>659</v>
      </c>
      <c r="C32" s="677"/>
      <c r="D32" s="678"/>
    </row>
    <row r="33" spans="1:26" ht="16.5" customHeight="1">
      <c r="A33" s="716" t="s">
        <v>259</v>
      </c>
      <c r="B33" s="733" t="s">
        <v>423</v>
      </c>
      <c r="C33" s="875" t="s">
        <v>829</v>
      </c>
      <c r="D33" s="849">
        <f>SUM('кал 1'!P30)*1000</f>
        <v>0</v>
      </c>
    </row>
    <row r="34" spans="1:26" ht="31.5" customHeight="1">
      <c r="A34" s="716" t="s">
        <v>588</v>
      </c>
      <c r="B34" s="878" t="s">
        <v>547</v>
      </c>
      <c r="C34" s="875" t="s">
        <v>830</v>
      </c>
      <c r="D34" s="849">
        <v>0</v>
      </c>
    </row>
    <row r="35" spans="1:26" ht="15.75">
      <c r="A35" s="108"/>
      <c r="B35" s="109" t="s">
        <v>139</v>
      </c>
      <c r="C35" s="110"/>
      <c r="D35" s="912">
        <f>D20+D21+D22+D24+D25+D27+D29+D30+D33+D34+D31</f>
        <v>0</v>
      </c>
      <c r="E35" s="702"/>
      <c r="G35" s="916">
        <f>E35-D35</f>
        <v>0</v>
      </c>
    </row>
    <row r="36" spans="1:26" ht="15.75">
      <c r="A36" s="107"/>
      <c r="B36" s="109" t="s">
        <v>137</v>
      </c>
      <c r="C36" s="242"/>
      <c r="D36" s="702">
        <f>D35*0.18</f>
        <v>0</v>
      </c>
    </row>
    <row r="37" spans="1:26" s="116" customFormat="1" ht="15.75">
      <c r="A37" s="243"/>
      <c r="B37" s="109" t="s">
        <v>138</v>
      </c>
      <c r="C37" s="243"/>
      <c r="D37" s="702">
        <f>D35+D36</f>
        <v>0</v>
      </c>
    </row>
    <row r="38" spans="1:26" ht="7.5" customHeight="1">
      <c r="A38" s="111"/>
      <c r="B38" s="112"/>
      <c r="C38" s="113"/>
      <c r="D38" s="114"/>
    </row>
    <row r="39" spans="1:26" s="116" customFormat="1" ht="0.75" hidden="1" customHeight="1">
      <c r="A39" s="115" t="s">
        <v>70</v>
      </c>
      <c r="B39" s="115"/>
      <c r="C39" s="115"/>
      <c r="D39" s="115"/>
    </row>
    <row r="40" spans="1:26" s="65" customFormat="1" ht="12" customHeight="1">
      <c r="A40" s="46"/>
      <c r="B40" s="46"/>
      <c r="C40" s="46"/>
      <c r="D40" s="46"/>
    </row>
    <row r="41" spans="1:26" s="86" customFormat="1" ht="46.5" customHeight="1">
      <c r="A41" s="1060"/>
      <c r="B41" s="1060"/>
      <c r="C41" s="899"/>
      <c r="D41" s="900"/>
      <c r="E41" s="71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s="86" customFormat="1" ht="15.75">
      <c r="A42" s="901"/>
      <c r="B42" s="902"/>
      <c r="C42" s="903"/>
      <c r="D42" s="904"/>
      <c r="E42" s="8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s="65" customFormat="1" ht="15.75">
      <c r="A43" s="1061"/>
      <c r="B43" s="1061"/>
      <c r="C43" s="903"/>
      <c r="D43" s="904"/>
    </row>
    <row r="44" spans="1:26" ht="15.75">
      <c r="A44" s="1061"/>
      <c r="B44" s="1061"/>
      <c r="C44" s="905"/>
      <c r="D44" s="905"/>
    </row>
  </sheetData>
  <mergeCells count="8">
    <mergeCell ref="A41:B41"/>
    <mergeCell ref="A43:B44"/>
    <mergeCell ref="A5:D5"/>
    <mergeCell ref="A6:D6"/>
    <mergeCell ref="C7:D7"/>
    <mergeCell ref="A10:B10"/>
    <mergeCell ref="A11:B11"/>
    <mergeCell ref="C11:D11"/>
  </mergeCells>
  <pageMargins left="0.74803149606299213" right="0.35433070866141736" top="0.35" bottom="0.42" header="0.26" footer="0.25"/>
  <pageSetup paperSize="9" scale="9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1"/>
  <sheetViews>
    <sheetView view="pageBreakPreview" topLeftCell="A5" zoomScaleNormal="100" zoomScaleSheetLayoutView="100" workbookViewId="0">
      <selection activeCell="B33" sqref="B33"/>
    </sheetView>
  </sheetViews>
  <sheetFormatPr defaultRowHeight="14.25"/>
  <cols>
    <col min="1" max="1" width="5.7109375" style="25" customWidth="1"/>
    <col min="2" max="2" width="23.140625" style="25" customWidth="1"/>
    <col min="3" max="3" width="8" style="25" customWidth="1"/>
    <col min="4" max="4" width="6.7109375" style="25" customWidth="1"/>
    <col min="5" max="5" width="22.28515625" style="26" customWidth="1"/>
    <col min="6" max="6" width="27.140625" style="25" customWidth="1"/>
    <col min="7" max="7" width="11.5703125" style="28" customWidth="1"/>
  </cols>
  <sheetData>
    <row r="1" spans="1:7" ht="15.75" hidden="1">
      <c r="A1" s="14"/>
      <c r="B1" s="14"/>
      <c r="C1" s="14"/>
      <c r="D1" s="14"/>
      <c r="E1" s="15"/>
      <c r="F1" s="14" t="s">
        <v>662</v>
      </c>
      <c r="G1" s="45"/>
    </row>
    <row r="2" spans="1:7" ht="15.75">
      <c r="A2" s="14"/>
      <c r="B2" s="14"/>
      <c r="C2" s="14"/>
      <c r="D2" s="14"/>
      <c r="E2" s="15"/>
      <c r="F2" s="14"/>
      <c r="G2" s="45"/>
    </row>
    <row r="3" spans="1:7" ht="23.25" customHeight="1">
      <c r="A3" s="17"/>
      <c r="B3" s="19"/>
      <c r="C3" s="19"/>
      <c r="D3" s="19"/>
      <c r="E3" s="18" t="s">
        <v>593</v>
      </c>
      <c r="F3" s="17"/>
      <c r="G3" s="17"/>
    </row>
    <row r="4" spans="1:7" ht="24" customHeight="1">
      <c r="A4" s="19"/>
      <c r="B4" s="19"/>
      <c r="C4" s="19"/>
      <c r="D4" s="19"/>
      <c r="E4" s="20" t="s">
        <v>586</v>
      </c>
      <c r="F4" s="19"/>
      <c r="G4" s="19"/>
    </row>
    <row r="5" spans="1:7" ht="15">
      <c r="A5" s="19"/>
      <c r="B5" s="21"/>
      <c r="C5" s="21"/>
      <c r="D5" s="21"/>
      <c r="E5" s="22"/>
      <c r="F5" s="21"/>
      <c r="G5" s="23"/>
    </row>
    <row r="6" spans="1:7" ht="18" customHeight="1">
      <c r="A6" s="55" t="s">
        <v>18</v>
      </c>
      <c r="B6" s="55"/>
      <c r="C6" s="55"/>
      <c r="D6" s="55"/>
      <c r="E6" s="20"/>
      <c r="F6" s="1064"/>
      <c r="G6" s="1064"/>
    </row>
    <row r="7" spans="1:7" ht="19.5" customHeight="1">
      <c r="A7" s="56"/>
      <c r="B7" s="56"/>
      <c r="C7" s="56"/>
      <c r="D7" s="56"/>
      <c r="E7" s="56"/>
      <c r="F7" s="1246" t="s">
        <v>540</v>
      </c>
      <c r="G7" s="1246"/>
    </row>
    <row r="8" spans="1:7" ht="6" customHeight="1">
      <c r="A8" s="57"/>
      <c r="B8" s="56"/>
      <c r="C8" s="56"/>
      <c r="D8" s="56"/>
      <c r="E8" s="56"/>
      <c r="F8" s="56"/>
      <c r="G8" s="58"/>
    </row>
    <row r="9" spans="1:7" ht="15.75">
      <c r="A9" s="56" t="s">
        <v>105</v>
      </c>
      <c r="B9" s="56"/>
      <c r="C9" s="56"/>
      <c r="D9" s="56"/>
      <c r="E9" s="56"/>
      <c r="F9" s="47"/>
      <c r="G9" s="47"/>
    </row>
    <row r="10" spans="1:7" ht="7.5" customHeight="1">
      <c r="A10" s="52"/>
      <c r="B10" s="56"/>
      <c r="C10" s="56"/>
      <c r="D10" s="56"/>
      <c r="E10" s="56"/>
      <c r="F10" s="56"/>
      <c r="G10" s="58"/>
    </row>
    <row r="11" spans="1:7" ht="15.75">
      <c r="A11" s="56" t="s">
        <v>106</v>
      </c>
      <c r="B11" s="56"/>
      <c r="C11" s="56"/>
      <c r="D11" s="56"/>
      <c r="E11" s="56"/>
      <c r="F11" s="47" t="s">
        <v>24</v>
      </c>
      <c r="G11" s="47"/>
    </row>
    <row r="12" spans="1:7">
      <c r="A12" s="24"/>
    </row>
    <row r="13" spans="1:7" ht="51">
      <c r="A13" s="29" t="s">
        <v>23</v>
      </c>
      <c r="B13" s="30" t="s">
        <v>20</v>
      </c>
      <c r="C13" s="30" t="s">
        <v>140</v>
      </c>
      <c r="D13" s="30" t="s">
        <v>421</v>
      </c>
      <c r="E13" s="31" t="s">
        <v>228</v>
      </c>
      <c r="F13" s="32" t="s">
        <v>21</v>
      </c>
      <c r="G13" s="33" t="s">
        <v>22</v>
      </c>
    </row>
    <row r="14" spans="1:7" ht="15">
      <c r="A14" s="34">
        <v>1</v>
      </c>
      <c r="B14" s="35">
        <v>2</v>
      </c>
      <c r="C14" s="35">
        <v>3</v>
      </c>
      <c r="D14" s="35">
        <v>4</v>
      </c>
      <c r="E14" s="35">
        <v>5</v>
      </c>
      <c r="F14" s="36">
        <v>6</v>
      </c>
      <c r="G14" s="37">
        <v>7</v>
      </c>
    </row>
    <row r="15" spans="1:7" ht="15" customHeight="1">
      <c r="A15" s="883" t="s">
        <v>4</v>
      </c>
      <c r="B15" s="617" t="s">
        <v>113</v>
      </c>
      <c r="C15" s="250" t="s">
        <v>173</v>
      </c>
      <c r="D15" s="891"/>
      <c r="E15" s="892" t="s">
        <v>108</v>
      </c>
      <c r="F15" s="670" t="s">
        <v>599</v>
      </c>
      <c r="G15" s="203">
        <f>(2416*1.3*0.1135*1.1+5593*1.3*0.015)*2.116*14.2/1000</f>
        <v>15.058999999999999</v>
      </c>
    </row>
    <row r="16" spans="1:7" ht="15" customHeight="1">
      <c r="A16" s="39"/>
      <c r="B16" s="222" t="s">
        <v>114</v>
      </c>
      <c r="C16" s="671" t="s">
        <v>541</v>
      </c>
      <c r="D16" s="619"/>
      <c r="E16" s="120" t="s">
        <v>109</v>
      </c>
      <c r="F16" s="39" t="s">
        <v>601</v>
      </c>
      <c r="G16" s="90"/>
    </row>
    <row r="17" spans="1:7" ht="15" customHeight="1">
      <c r="A17" s="39"/>
      <c r="B17" s="893" t="s">
        <v>115</v>
      </c>
      <c r="C17" s="671" t="s">
        <v>422</v>
      </c>
      <c r="D17" s="619"/>
      <c r="E17" s="120" t="s">
        <v>110</v>
      </c>
      <c r="F17" s="39" t="s">
        <v>60</v>
      </c>
      <c r="G17" s="90"/>
    </row>
    <row r="18" spans="1:7" ht="15" customHeight="1">
      <c r="A18" s="39"/>
      <c r="B18" s="672" t="s">
        <v>116</v>
      </c>
      <c r="C18" s="671"/>
      <c r="D18" s="673"/>
      <c r="E18" s="120" t="s">
        <v>111</v>
      </c>
      <c r="F18" s="39"/>
      <c r="G18" s="90"/>
    </row>
    <row r="19" spans="1:7" ht="15" customHeight="1">
      <c r="A19" s="39"/>
      <c r="B19" s="565" t="s">
        <v>117</v>
      </c>
      <c r="C19" s="503"/>
      <c r="D19" s="504"/>
      <c r="E19" s="120" t="s">
        <v>112</v>
      </c>
      <c r="F19" s="39"/>
      <c r="G19" s="90"/>
    </row>
    <row r="20" spans="1:7" ht="15" customHeight="1">
      <c r="A20" s="39"/>
      <c r="B20" s="565" t="s">
        <v>796</v>
      </c>
      <c r="C20" s="235"/>
      <c r="D20" s="674"/>
      <c r="E20" s="223" t="s">
        <v>118</v>
      </c>
      <c r="F20" s="39"/>
      <c r="G20" s="90"/>
    </row>
    <row r="21" spans="1:7" ht="15" customHeight="1">
      <c r="A21" s="39"/>
      <c r="B21" s="565"/>
      <c r="C21" s="235"/>
      <c r="D21" s="674"/>
      <c r="E21" s="223" t="s">
        <v>119</v>
      </c>
      <c r="F21" s="675"/>
      <c r="G21" s="90"/>
    </row>
    <row r="22" spans="1:7" ht="15" customHeight="1">
      <c r="A22" s="39"/>
      <c r="B22" s="122"/>
      <c r="C22" s="235"/>
      <c r="D22" s="122"/>
      <c r="E22" s="223" t="s">
        <v>120</v>
      </c>
      <c r="F22" s="675"/>
      <c r="G22" s="90"/>
    </row>
    <row r="23" spans="1:7" ht="15" customHeight="1">
      <c r="A23" s="39"/>
      <c r="B23" s="86"/>
      <c r="C23" s="676"/>
      <c r="D23" s="86"/>
      <c r="E23" s="223" t="s">
        <v>544</v>
      </c>
      <c r="F23" s="224"/>
      <c r="G23" s="90"/>
    </row>
    <row r="24" spans="1:7" ht="15" customHeight="1">
      <c r="A24" s="39"/>
      <c r="B24" s="86"/>
      <c r="C24" s="676"/>
      <c r="D24" s="86"/>
      <c r="E24" s="223" t="s">
        <v>598</v>
      </c>
      <c r="F24" s="224"/>
      <c r="G24" s="90"/>
    </row>
    <row r="25" spans="1:7" ht="15" customHeight="1">
      <c r="A25" s="39"/>
      <c r="B25" s="86"/>
      <c r="C25" s="676"/>
      <c r="D25" s="86"/>
      <c r="E25" s="223" t="s">
        <v>542</v>
      </c>
      <c r="F25" s="224"/>
      <c r="G25" s="90"/>
    </row>
    <row r="26" spans="1:7" ht="15" customHeight="1">
      <c r="A26" s="39"/>
      <c r="B26" s="86"/>
      <c r="C26" s="676"/>
      <c r="D26" s="86"/>
      <c r="E26" s="223" t="s">
        <v>543</v>
      </c>
      <c r="F26" s="224"/>
      <c r="G26" s="90"/>
    </row>
    <row r="27" spans="1:7" ht="15" customHeight="1">
      <c r="A27" s="40"/>
      <c r="B27" s="566"/>
      <c r="C27" s="237"/>
      <c r="D27" s="507"/>
      <c r="E27" s="227" t="s">
        <v>121</v>
      </c>
      <c r="F27" s="225"/>
      <c r="G27" s="126"/>
    </row>
    <row r="28" spans="1:7" ht="15.75">
      <c r="A28" s="42"/>
      <c r="B28" s="42"/>
      <c r="C28" s="42"/>
      <c r="D28" s="42"/>
      <c r="E28" s="43"/>
      <c r="F28" s="44" t="s">
        <v>9</v>
      </c>
      <c r="G28" s="91">
        <f>SUM(G15:G27)</f>
        <v>15.058999999999999</v>
      </c>
    </row>
    <row r="30" spans="1:7" s="16" customFormat="1" ht="17.25" hidden="1" customHeight="1">
      <c r="A30" s="1082" t="s">
        <v>28</v>
      </c>
      <c r="B30" s="1082"/>
      <c r="C30" s="71"/>
      <c r="D30" s="71"/>
      <c r="E30" s="71"/>
      <c r="F30" s="71"/>
      <c r="G30" s="71"/>
    </row>
    <row r="31" spans="1:7" s="16" customFormat="1" ht="5.25" customHeight="1">
      <c r="A31" s="71"/>
      <c r="B31" s="71"/>
      <c r="C31" s="71"/>
      <c r="D31" s="71"/>
      <c r="E31" s="71"/>
      <c r="F31" s="71"/>
      <c r="G31" s="71"/>
    </row>
    <row r="32" spans="1:7" s="16" customFormat="1" ht="22.5" customHeight="1">
      <c r="A32" s="1176"/>
      <c r="B32" s="1176"/>
      <c r="C32" s="63"/>
      <c r="D32" s="63"/>
      <c r="E32" s="61"/>
      <c r="F32" s="59"/>
      <c r="G32" s="83"/>
    </row>
    <row r="33" spans="1:28" s="16" customFormat="1" ht="20.25" customHeight="1">
      <c r="A33" s="71"/>
      <c r="B33" s="63" t="s">
        <v>729</v>
      </c>
      <c r="C33" s="63"/>
      <c r="D33" s="63"/>
      <c r="E33" s="54"/>
      <c r="F33" s="84"/>
      <c r="G33" s="75"/>
    </row>
    <row r="34" spans="1:28" s="16" customFormat="1" ht="20.25" customHeight="1">
      <c r="A34" s="927"/>
      <c r="B34" s="931"/>
      <c r="C34" s="931"/>
      <c r="D34" s="931"/>
      <c r="E34" s="54"/>
      <c r="F34" s="84"/>
      <c r="G34" s="75"/>
    </row>
    <row r="35" spans="1:28" s="67" customFormat="1" ht="15.75">
      <c r="A35" s="69"/>
      <c r="B35" s="68" t="s">
        <v>730</v>
      </c>
      <c r="C35" s="68"/>
      <c r="D35" s="68"/>
      <c r="F35" s="621" t="s">
        <v>577</v>
      </c>
      <c r="G35" s="70"/>
    </row>
    <row r="36" spans="1:28" s="16" customFormat="1" ht="4.5" customHeight="1">
      <c r="A36" s="76"/>
      <c r="B36" s="76"/>
      <c r="C36" s="76"/>
      <c r="D36" s="76"/>
      <c r="E36" s="61"/>
      <c r="F36" s="59"/>
      <c r="G36" s="83"/>
    </row>
    <row r="37" spans="1:28" s="13" customFormat="1" ht="27.75" hidden="1" customHeight="1">
      <c r="A37" s="77" t="s">
        <v>29</v>
      </c>
      <c r="B37" s="1"/>
      <c r="C37" s="1"/>
      <c r="D37" s="1"/>
      <c r="E37" s="1"/>
      <c r="F37" s="78"/>
      <c r="G37" s="1"/>
    </row>
    <row r="38" spans="1:28" s="13" customFormat="1" ht="3" hidden="1" customHeight="1">
      <c r="A38" s="730" t="s">
        <v>575</v>
      </c>
      <c r="B38" s="731"/>
      <c r="C38" s="721"/>
      <c r="D38" s="721"/>
      <c r="E38" s="722"/>
      <c r="F38" s="723"/>
      <c r="G38"/>
    </row>
    <row r="39" spans="1:28" s="13" customFormat="1" ht="4.5" hidden="1" customHeight="1">
      <c r="A39" s="720"/>
      <c r="B39" s="721"/>
      <c r="C39" s="721"/>
      <c r="D39" s="721"/>
      <c r="E39" s="722"/>
      <c r="F39" s="724"/>
      <c r="G39" s="80"/>
    </row>
    <row r="40" spans="1:28" s="16" customFormat="1" ht="15.75" hidden="1">
      <c r="A40" s="720" t="s">
        <v>575</v>
      </c>
      <c r="B40" s="721"/>
      <c r="C40" s="721"/>
      <c r="D40" s="721"/>
      <c r="E40" s="723"/>
      <c r="F40" s="723"/>
      <c r="G40" s="707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</row>
    <row r="41" spans="1:28" s="16" customFormat="1" ht="15.75" hidden="1">
      <c r="A41" s="720"/>
      <c r="B41" s="721"/>
      <c r="C41" s="721"/>
      <c r="D41" s="721"/>
      <c r="E41" s="723"/>
      <c r="F41" s="723"/>
      <c r="G41" s="707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</row>
    <row r="42" spans="1:28" s="610" customFormat="1" ht="15.75" hidden="1">
      <c r="A42" s="725" t="s">
        <v>600</v>
      </c>
      <c r="B42" s="725"/>
      <c r="C42" s="725"/>
      <c r="D42" s="725"/>
      <c r="E42" s="725"/>
      <c r="F42" s="726" t="s">
        <v>573</v>
      </c>
      <c r="G42" s="82"/>
    </row>
    <row r="43" spans="1:28" s="610" customFormat="1" ht="15.75" hidden="1">
      <c r="A43" s="710"/>
      <c r="B43" s="710"/>
      <c r="C43" s="710"/>
      <c r="D43" s="710"/>
      <c r="E43" s="710"/>
      <c r="F43" s="708"/>
      <c r="G43" s="53"/>
    </row>
    <row r="44" spans="1:28" s="610" customFormat="1" ht="15.75" hidden="1">
      <c r="A44" s="727" t="s">
        <v>576</v>
      </c>
      <c r="B44" s="728"/>
      <c r="C44" s="728"/>
      <c r="D44" s="68"/>
      <c r="E44" s="68"/>
      <c r="F44" s="729" t="s">
        <v>577</v>
      </c>
      <c r="G44" s="80"/>
    </row>
    <row r="45" spans="1:28" s="610" customFormat="1" ht="15.75">
      <c r="A45" s="1082"/>
      <c r="B45" s="1082"/>
      <c r="C45" s="71"/>
      <c r="D45" s="71"/>
      <c r="E45" s="71"/>
      <c r="F45" s="71"/>
      <c r="G45" s="64"/>
    </row>
    <row r="46" spans="1:28" s="610" customFormat="1" ht="6" customHeight="1">
      <c r="A46" s="71"/>
      <c r="B46" s="71"/>
      <c r="C46" s="71"/>
      <c r="D46" s="71"/>
      <c r="E46" s="71"/>
      <c r="F46" s="71"/>
      <c r="G46" s="80"/>
    </row>
    <row r="47" spans="1:28" s="610" customFormat="1" ht="15.75">
      <c r="A47" s="1176"/>
      <c r="B47" s="1176"/>
      <c r="C47" s="63"/>
      <c r="D47" s="63"/>
      <c r="E47" s="61"/>
      <c r="F47" s="59"/>
      <c r="G47" s="80"/>
    </row>
    <row r="48" spans="1:28" s="610" customFormat="1" ht="15.75">
      <c r="A48" s="71"/>
      <c r="B48" s="63"/>
      <c r="C48" s="63"/>
      <c r="D48" s="63"/>
      <c r="E48" s="54"/>
      <c r="F48" s="84"/>
      <c r="G48" s="51"/>
    </row>
    <row r="49" spans="1:6" ht="15.75">
      <c r="A49" s="69"/>
      <c r="B49" s="68"/>
      <c r="C49" s="68"/>
      <c r="D49" s="68"/>
      <c r="E49" s="67"/>
      <c r="F49" s="85"/>
    </row>
    <row r="50" spans="1:6" ht="15.75">
      <c r="A50" s="76"/>
      <c r="B50" s="76"/>
      <c r="C50" s="76"/>
      <c r="D50" s="76"/>
      <c r="E50" s="61"/>
      <c r="F50" s="59"/>
    </row>
    <row r="51" spans="1:6" ht="15.75">
      <c r="A51" s="77"/>
      <c r="B51" s="1"/>
      <c r="C51" s="1"/>
      <c r="D51" s="1"/>
      <c r="E51" s="1"/>
      <c r="F51" s="78"/>
    </row>
    <row r="52" spans="1:6">
      <c r="A52"/>
      <c r="B52"/>
      <c r="C52"/>
      <c r="D52"/>
      <c r="E52"/>
      <c r="F52" s="79"/>
    </row>
    <row r="53" spans="1:6" ht="15.75">
      <c r="A53" s="80"/>
      <c r="B53" s="80"/>
      <c r="C53" s="80"/>
      <c r="D53" s="80"/>
      <c r="E53" s="80"/>
      <c r="F53" s="50"/>
    </row>
    <row r="54" spans="1:6" ht="15.75">
      <c r="A54" s="62"/>
      <c r="B54" s="61"/>
      <c r="C54" s="61"/>
      <c r="D54" s="61"/>
      <c r="E54" s="60"/>
      <c r="F54" s="81"/>
    </row>
    <row r="55" spans="1:6" ht="15.75">
      <c r="A55" s="62"/>
      <c r="B55" s="61"/>
      <c r="C55" s="61"/>
      <c r="D55" s="61"/>
      <c r="E55" s="60"/>
      <c r="F55" s="59"/>
    </row>
    <row r="56" spans="1:6" ht="15.75">
      <c r="A56" s="62"/>
      <c r="B56" s="61"/>
      <c r="C56" s="61"/>
      <c r="D56" s="61"/>
      <c r="E56" s="60"/>
      <c r="F56" s="74"/>
    </row>
    <row r="57" spans="1:6" ht="15.75">
      <c r="A57" s="80"/>
      <c r="B57" s="80"/>
      <c r="C57" s="80"/>
      <c r="D57" s="80"/>
      <c r="E57" s="80"/>
      <c r="F57" s="80"/>
    </row>
    <row r="58" spans="1:6" ht="15.75">
      <c r="A58" s="51"/>
      <c r="B58" s="51"/>
      <c r="C58" s="51"/>
      <c r="D58" s="51"/>
      <c r="E58" s="51"/>
      <c r="F58" s="59"/>
    </row>
    <row r="59" spans="1:6" ht="15.75">
      <c r="A59" s="80"/>
      <c r="B59" s="80"/>
      <c r="C59" s="80"/>
      <c r="D59" s="80"/>
      <c r="E59" s="80"/>
      <c r="F59" s="50"/>
    </row>
    <row r="60" spans="1:6" ht="15.75">
      <c r="A60" s="80"/>
      <c r="B60" s="80"/>
      <c r="C60" s="80"/>
      <c r="D60" s="80"/>
      <c r="E60" s="80"/>
      <c r="F60" s="80"/>
    </row>
    <row r="61" spans="1:6" ht="15.75">
      <c r="A61" s="51"/>
      <c r="B61" s="51"/>
      <c r="C61" s="51"/>
      <c r="D61" s="51"/>
      <c r="E61" s="51"/>
      <c r="F61" s="123"/>
    </row>
  </sheetData>
  <mergeCells count="6">
    <mergeCell ref="F6:G6"/>
    <mergeCell ref="F7:G7"/>
    <mergeCell ref="A45:B45"/>
    <mergeCell ref="A47:B47"/>
    <mergeCell ref="A30:B30"/>
    <mergeCell ref="A32:B32"/>
  </mergeCells>
  <pageMargins left="0.74803149606299213" right="0.35433070866141736" top="0.59055118110236227" bottom="0.55118110236220474" header="0.51181102362204722" footer="0.19685039370078741"/>
  <pageSetup paperSize="9" scale="8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B138"/>
  <sheetViews>
    <sheetView view="pageBreakPreview" topLeftCell="A96" zoomScaleNormal="100" zoomScaleSheetLayoutView="100" workbookViewId="0">
      <selection activeCell="F124" sqref="F124"/>
    </sheetView>
  </sheetViews>
  <sheetFormatPr defaultRowHeight="14.25"/>
  <cols>
    <col min="1" max="1" width="6.28515625" style="25" customWidth="1"/>
    <col min="2" max="2" width="25.5703125" style="25" customWidth="1"/>
    <col min="3" max="3" width="8.140625" style="25" customWidth="1"/>
    <col min="4" max="4" width="7.42578125" style="25" customWidth="1"/>
    <col min="5" max="5" width="21.5703125" style="26" customWidth="1"/>
    <col min="6" max="6" width="28" style="25" customWidth="1"/>
    <col min="7" max="7" width="12.42578125" style="28" customWidth="1"/>
    <col min="8" max="11" width="9.140625" style="16" hidden="1" customWidth="1"/>
    <col min="12" max="12" width="11.85546875" style="16" customWidth="1"/>
    <col min="13" max="16384" width="9.140625" style="16"/>
  </cols>
  <sheetData>
    <row r="1" spans="1:7" s="86" customFormat="1" ht="15" hidden="1" customHeight="1">
      <c r="A1" s="14"/>
      <c r="B1" s="14"/>
      <c r="C1" s="14"/>
      <c r="D1" s="14"/>
      <c r="E1" s="15"/>
      <c r="F1" s="14" t="s">
        <v>662</v>
      </c>
      <c r="G1" s="14"/>
    </row>
    <row r="2" spans="1:7" s="86" customFormat="1" ht="15" hidden="1">
      <c r="A2" s="14"/>
      <c r="B2" s="14"/>
      <c r="C2" s="14"/>
      <c r="D2" s="14"/>
      <c r="E2" s="15"/>
      <c r="F2" s="14"/>
      <c r="G2" s="14"/>
    </row>
    <row r="3" spans="1:7" s="86" customFormat="1" ht="15.75" customHeight="1">
      <c r="A3" s="17"/>
      <c r="B3" s="19"/>
      <c r="C3" s="19"/>
      <c r="D3" s="19"/>
      <c r="E3" s="18" t="s">
        <v>593</v>
      </c>
      <c r="F3" s="17"/>
      <c r="G3" s="17"/>
    </row>
    <row r="4" spans="1:7" s="86" customFormat="1" ht="15.75" customHeight="1">
      <c r="A4" s="19"/>
      <c r="B4" s="19"/>
      <c r="C4" s="19"/>
      <c r="D4" s="19"/>
      <c r="E4" s="20" t="s">
        <v>420</v>
      </c>
      <c r="F4" s="19"/>
      <c r="G4" s="19"/>
    </row>
    <row r="5" spans="1:7" s="86" customFormat="1" ht="7.5" customHeight="1">
      <c r="A5" s="19"/>
      <c r="B5" s="21"/>
      <c r="C5" s="21"/>
      <c r="D5" s="21"/>
      <c r="E5" s="22"/>
      <c r="F5" s="21"/>
      <c r="G5" s="23"/>
    </row>
    <row r="6" spans="1:7" s="53" customFormat="1" ht="15" customHeight="1">
      <c r="A6" s="55" t="s">
        <v>18</v>
      </c>
      <c r="B6" s="55"/>
      <c r="C6" s="55"/>
      <c r="D6" s="55"/>
      <c r="E6" s="20"/>
      <c r="F6" s="1064"/>
      <c r="G6" s="1064"/>
    </row>
    <row r="7" spans="1:7" s="53" customFormat="1" ht="15" customHeight="1">
      <c r="A7" s="56"/>
      <c r="B7" s="56"/>
      <c r="C7" s="56"/>
      <c r="D7" s="56"/>
      <c r="E7" s="56"/>
      <c r="F7" s="47" t="s">
        <v>488</v>
      </c>
      <c r="G7" s="47"/>
    </row>
    <row r="8" spans="1:7" s="53" customFormat="1" ht="8.25" customHeight="1">
      <c r="A8" s="57"/>
      <c r="B8" s="56"/>
      <c r="C8" s="56"/>
      <c r="D8" s="56"/>
      <c r="E8" s="56"/>
      <c r="F8" s="56"/>
      <c r="G8" s="58"/>
    </row>
    <row r="9" spans="1:7" s="53" customFormat="1" ht="15.75">
      <c r="A9" s="56" t="s">
        <v>105</v>
      </c>
      <c r="B9" s="56"/>
      <c r="C9" s="56"/>
      <c r="D9" s="56"/>
      <c r="E9" s="56"/>
      <c r="F9" s="47"/>
      <c r="G9" s="47"/>
    </row>
    <row r="10" spans="1:7" s="53" customFormat="1" ht="8.25" customHeight="1">
      <c r="A10" s="52"/>
      <c r="B10" s="56"/>
      <c r="C10" s="56"/>
      <c r="D10" s="56"/>
      <c r="E10" s="56"/>
      <c r="F10" s="56"/>
      <c r="G10" s="58"/>
    </row>
    <row r="11" spans="1:7" s="53" customFormat="1" ht="15.75">
      <c r="A11" s="56" t="s">
        <v>106</v>
      </c>
      <c r="B11" s="56"/>
      <c r="C11" s="56"/>
      <c r="D11" s="56"/>
      <c r="E11" s="56"/>
      <c r="F11" s="47" t="s">
        <v>24</v>
      </c>
      <c r="G11" s="47"/>
    </row>
    <row r="12" spans="1:7" s="86" customFormat="1" ht="7.5" customHeight="1">
      <c r="A12" s="24"/>
      <c r="B12" s="25"/>
      <c r="C12" s="25"/>
      <c r="D12" s="25"/>
      <c r="E12" s="26"/>
      <c r="F12" s="25"/>
      <c r="G12" s="28"/>
    </row>
    <row r="13" spans="1:7" s="86" customFormat="1" ht="50.25" customHeight="1">
      <c r="A13" s="29" t="s">
        <v>23</v>
      </c>
      <c r="B13" s="30" t="s">
        <v>71</v>
      </c>
      <c r="C13" s="30" t="s">
        <v>140</v>
      </c>
      <c r="D13" s="30" t="s">
        <v>421</v>
      </c>
      <c r="E13" s="48" t="s">
        <v>228</v>
      </c>
      <c r="F13" s="32" t="s">
        <v>21</v>
      </c>
      <c r="G13" s="33" t="s">
        <v>22</v>
      </c>
    </row>
    <row r="14" spans="1:7" s="13" customFormat="1" ht="15" customHeight="1">
      <c r="A14" s="34">
        <v>1</v>
      </c>
      <c r="B14" s="35">
        <v>2</v>
      </c>
      <c r="C14" s="35">
        <v>3</v>
      </c>
      <c r="D14" s="35">
        <v>4</v>
      </c>
      <c r="E14" s="35">
        <v>5</v>
      </c>
      <c r="F14" s="36">
        <v>6</v>
      </c>
      <c r="G14" s="37">
        <v>7</v>
      </c>
    </row>
    <row r="15" spans="1:7" s="13" customFormat="1" ht="15" customHeight="1">
      <c r="A15" s="1194" t="s">
        <v>4</v>
      </c>
      <c r="B15" s="194" t="s">
        <v>815</v>
      </c>
      <c r="C15" s="1194" t="s">
        <v>579</v>
      </c>
      <c r="D15" s="1194">
        <v>1</v>
      </c>
      <c r="E15" s="248" t="s">
        <v>148</v>
      </c>
      <c r="F15" s="194" t="s">
        <v>853</v>
      </c>
      <c r="G15" s="203">
        <f>374.17*0.6*1.3*1.43*0*0.909</f>
        <v>0</v>
      </c>
    </row>
    <row r="16" spans="1:7" s="13" customFormat="1" ht="15" customHeight="1">
      <c r="A16" s="1195"/>
      <c r="B16" s="235" t="s">
        <v>816</v>
      </c>
      <c r="C16" s="1195"/>
      <c r="D16" s="1195"/>
      <c r="E16" s="245" t="s">
        <v>149</v>
      </c>
      <c r="F16" s="12" t="s">
        <v>150</v>
      </c>
      <c r="G16" s="90"/>
    </row>
    <row r="17" spans="1:12" s="13" customFormat="1" ht="15" customHeight="1">
      <c r="A17" s="1195"/>
      <c r="B17" s="236"/>
      <c r="C17" s="1195"/>
      <c r="D17" s="1195"/>
      <c r="E17" s="245" t="s">
        <v>151</v>
      </c>
      <c r="F17" s="224"/>
      <c r="G17" s="90"/>
    </row>
    <row r="18" spans="1:12" s="13" customFormat="1" ht="15" customHeight="1">
      <c r="A18" s="1195"/>
      <c r="B18" s="236"/>
      <c r="C18" s="1195"/>
      <c r="D18" s="1195"/>
      <c r="E18" s="245" t="s">
        <v>664</v>
      </c>
      <c r="F18" s="224"/>
      <c r="G18" s="90"/>
    </row>
    <row r="19" spans="1:12" s="13" customFormat="1" ht="15" customHeight="1">
      <c r="A19" s="1195"/>
      <c r="B19" s="247"/>
      <c r="C19" s="1195"/>
      <c r="D19" s="1195"/>
      <c r="E19" s="245" t="s">
        <v>746</v>
      </c>
      <c r="F19" s="224"/>
      <c r="G19" s="90"/>
    </row>
    <row r="20" spans="1:12" s="13" customFormat="1" ht="15" customHeight="1">
      <c r="A20" s="1195"/>
      <c r="B20" s="247"/>
      <c r="C20" s="1195"/>
      <c r="D20" s="1195"/>
      <c r="E20" s="249" t="s">
        <v>747</v>
      </c>
      <c r="F20" s="224"/>
      <c r="G20" s="90"/>
    </row>
    <row r="21" spans="1:12" s="13" customFormat="1" ht="15" customHeight="1">
      <c r="A21" s="1195"/>
      <c r="B21" s="247"/>
      <c r="C21" s="1195"/>
      <c r="D21" s="1195"/>
      <c r="E21" s="245" t="s">
        <v>153</v>
      </c>
      <c r="F21" s="224"/>
      <c r="G21" s="90"/>
    </row>
    <row r="22" spans="1:12" s="13" customFormat="1" ht="15" customHeight="1">
      <c r="A22" s="1195"/>
      <c r="B22" s="247"/>
      <c r="C22" s="1195"/>
      <c r="D22" s="1195"/>
      <c r="E22" s="245" t="s">
        <v>31</v>
      </c>
      <c r="F22" s="224"/>
      <c r="G22" s="90"/>
    </row>
    <row r="23" spans="1:12" s="13" customFormat="1" ht="15" customHeight="1">
      <c r="A23" s="1195"/>
      <c r="B23" s="247"/>
      <c r="C23" s="1195"/>
      <c r="D23" s="1195"/>
      <c r="E23" s="94" t="s">
        <v>154</v>
      </c>
      <c r="F23" s="224"/>
      <c r="G23" s="90"/>
    </row>
    <row r="24" spans="1:12" s="13" customFormat="1" ht="15" customHeight="1">
      <c r="A24" s="1195"/>
      <c r="B24" s="247"/>
      <c r="C24" s="1195"/>
      <c r="D24" s="1195"/>
      <c r="E24" s="94" t="s">
        <v>155</v>
      </c>
      <c r="F24" s="224"/>
      <c r="G24" s="90"/>
    </row>
    <row r="25" spans="1:12" s="13" customFormat="1" ht="15" customHeight="1">
      <c r="A25" s="1195"/>
      <c r="B25" s="247"/>
      <c r="C25" s="1195"/>
      <c r="D25" s="1195"/>
      <c r="E25" s="245" t="s">
        <v>25</v>
      </c>
      <c r="F25" s="224"/>
      <c r="G25" s="90"/>
    </row>
    <row r="26" spans="1:12" s="13" customFormat="1" ht="15" customHeight="1">
      <c r="A26" s="1195"/>
      <c r="B26" s="247"/>
      <c r="C26" s="1195"/>
      <c r="D26" s="1195"/>
      <c r="E26" s="245" t="s">
        <v>3</v>
      </c>
      <c r="F26" s="224"/>
      <c r="G26" s="90"/>
    </row>
    <row r="27" spans="1:12" s="13" customFormat="1" ht="15" customHeight="1">
      <c r="A27" s="1195"/>
      <c r="B27" s="247"/>
      <c r="C27" s="1195"/>
      <c r="D27" s="1195"/>
      <c r="E27" s="94" t="s">
        <v>847</v>
      </c>
      <c r="F27" s="224"/>
      <c r="G27" s="90"/>
    </row>
    <row r="28" spans="1:12" s="13" customFormat="1" ht="15" customHeight="1">
      <c r="A28" s="1195"/>
      <c r="B28" s="247"/>
      <c r="C28" s="1195"/>
      <c r="D28" s="1195"/>
      <c r="E28" s="245" t="s">
        <v>489</v>
      </c>
      <c r="F28" s="224"/>
      <c r="G28" s="90"/>
    </row>
    <row r="29" spans="1:12" s="41" customFormat="1" ht="18" customHeight="1">
      <c r="A29" s="682" t="s">
        <v>5</v>
      </c>
      <c r="B29" s="994" t="s">
        <v>548</v>
      </c>
      <c r="C29" s="683" t="s">
        <v>147</v>
      </c>
      <c r="D29" s="683">
        <v>1</v>
      </c>
      <c r="E29" s="623" t="s">
        <v>148</v>
      </c>
      <c r="F29" s="994" t="s">
        <v>854</v>
      </c>
      <c r="G29" s="684">
        <f>134.13*0.6*1.3*1.43*0*0.5</f>
        <v>0</v>
      </c>
      <c r="L29" s="685"/>
    </row>
    <row r="30" spans="1:12" s="41" customFormat="1" ht="18" customHeight="1">
      <c r="A30" s="686"/>
      <c r="B30" s="995" t="s">
        <v>549</v>
      </c>
      <c r="C30" s="687"/>
      <c r="D30" s="687"/>
      <c r="E30" s="95" t="s">
        <v>156</v>
      </c>
      <c r="F30" s="995" t="s">
        <v>795</v>
      </c>
      <c r="G30" s="688"/>
    </row>
    <row r="31" spans="1:12" s="41" customFormat="1" ht="18" customHeight="1">
      <c r="A31" s="686"/>
      <c r="B31" s="995" t="s">
        <v>550</v>
      </c>
      <c r="C31" s="687"/>
      <c r="D31" s="687"/>
      <c r="E31" s="95" t="s">
        <v>490</v>
      </c>
      <c r="F31" s="624"/>
      <c r="G31" s="688"/>
    </row>
    <row r="32" spans="1:12" s="41" customFormat="1" ht="69" customHeight="1">
      <c r="A32" s="686"/>
      <c r="B32" s="995"/>
      <c r="C32" s="687"/>
      <c r="D32" s="687"/>
      <c r="E32" s="95" t="s">
        <v>794</v>
      </c>
      <c r="F32" s="624"/>
      <c r="G32" s="688"/>
    </row>
    <row r="33" spans="1:28" s="41" customFormat="1" ht="18" customHeight="1">
      <c r="A33" s="1205" t="s">
        <v>6</v>
      </c>
      <c r="B33" s="194" t="s">
        <v>705</v>
      </c>
      <c r="C33" s="1205" t="s">
        <v>147</v>
      </c>
      <c r="D33" s="1205">
        <v>1</v>
      </c>
      <c r="E33" s="616" t="s">
        <v>148</v>
      </c>
      <c r="F33" s="194" t="s">
        <v>748</v>
      </c>
      <c r="G33" s="954">
        <f>(24.214*1)*0.6*1.3*1.43*0</f>
        <v>0</v>
      </c>
    </row>
    <row r="34" spans="1:28" s="41" customFormat="1" ht="23.25" customHeight="1">
      <c r="A34" s="1206"/>
      <c r="B34" s="8"/>
      <c r="C34" s="1206"/>
      <c r="D34" s="1206"/>
      <c r="E34" s="9" t="s">
        <v>156</v>
      </c>
      <c r="F34" s="8" t="s">
        <v>855</v>
      </c>
      <c r="G34" s="955"/>
    </row>
    <row r="35" spans="1:28" s="41" customFormat="1" ht="14.25" customHeight="1">
      <c r="A35" s="1206"/>
      <c r="B35" s="236"/>
      <c r="C35" s="1206"/>
      <c r="D35" s="1206"/>
      <c r="E35" s="9" t="s">
        <v>706</v>
      </c>
      <c r="F35" s="245"/>
      <c r="G35" s="862"/>
    </row>
    <row r="36" spans="1:28" s="41" customFormat="1" ht="14.25" customHeight="1">
      <c r="A36" s="1206"/>
      <c r="B36" s="247"/>
      <c r="C36" s="1206"/>
      <c r="D36" s="1206"/>
      <c r="E36" s="94"/>
      <c r="F36" s="94"/>
      <c r="G36" s="574"/>
    </row>
    <row r="37" spans="1:28" s="41" customFormat="1" ht="18.75" customHeight="1">
      <c r="A37" s="1199" t="s">
        <v>7</v>
      </c>
      <c r="B37" s="238" t="s">
        <v>157</v>
      </c>
      <c r="C37" s="1202" t="s">
        <v>578</v>
      </c>
      <c r="D37" s="1202">
        <v>0.35</v>
      </c>
      <c r="E37" s="616" t="s">
        <v>148</v>
      </c>
      <c r="F37" s="617" t="s">
        <v>823</v>
      </c>
      <c r="G37" s="203">
        <f>(33.816+9.123*0.35)*0.6*1.3*1.43*0*1.1*0.96</f>
        <v>0</v>
      </c>
    </row>
    <row r="38" spans="1:28" s="41" customFormat="1" ht="18.75" customHeight="1">
      <c r="A38" s="1200"/>
      <c r="B38" s="125" t="s">
        <v>158</v>
      </c>
      <c r="C38" s="1203"/>
      <c r="D38" s="1203"/>
      <c r="E38" s="249" t="s">
        <v>156</v>
      </c>
      <c r="F38" s="12" t="s">
        <v>856</v>
      </c>
      <c r="G38" s="562"/>
    </row>
    <row r="39" spans="1:28" s="41" customFormat="1" ht="19.5" customHeight="1">
      <c r="A39" s="1200"/>
      <c r="B39" s="125" t="s">
        <v>571</v>
      </c>
      <c r="C39" s="1203"/>
      <c r="D39" s="1203"/>
      <c r="E39" s="249" t="s">
        <v>159</v>
      </c>
      <c r="F39" s="12"/>
      <c r="G39" s="562"/>
    </row>
    <row r="40" spans="1:28" s="41" customFormat="1" ht="25.5" customHeight="1">
      <c r="A40" s="1200"/>
      <c r="B40" s="125" t="s">
        <v>708</v>
      </c>
      <c r="C40" s="1203"/>
      <c r="D40" s="1203"/>
      <c r="E40" s="120" t="s">
        <v>709</v>
      </c>
      <c r="F40" s="12"/>
      <c r="G40" s="562"/>
    </row>
    <row r="41" spans="1:28" s="41" customFormat="1" ht="19.5" customHeight="1">
      <c r="A41" s="1200"/>
      <c r="B41" s="125"/>
      <c r="C41" s="1203"/>
      <c r="D41" s="1203"/>
      <c r="E41" s="613" t="s">
        <v>160</v>
      </c>
      <c r="F41" s="1004"/>
      <c r="G41" s="562"/>
    </row>
    <row r="42" spans="1:28" s="41" customFormat="1" ht="18.75" customHeight="1">
      <c r="A42" s="1199" t="s">
        <v>8</v>
      </c>
      <c r="B42" s="238" t="s">
        <v>157</v>
      </c>
      <c r="C42" s="1202" t="s">
        <v>578</v>
      </c>
      <c r="D42" s="1202">
        <v>6.2</v>
      </c>
      <c r="E42" s="616" t="s">
        <v>148</v>
      </c>
      <c r="F42" s="617" t="s">
        <v>824</v>
      </c>
      <c r="G42" s="203">
        <f>(45.876+6.711*6.2)*0.6*1.3*1.43*0*1.1*0.96</f>
        <v>0</v>
      </c>
    </row>
    <row r="43" spans="1:28" s="41" customFormat="1" ht="18.75" customHeight="1">
      <c r="A43" s="1200"/>
      <c r="B43" s="125" t="s">
        <v>158</v>
      </c>
      <c r="C43" s="1203"/>
      <c r="D43" s="1203"/>
      <c r="E43" s="249" t="s">
        <v>156</v>
      </c>
      <c r="F43" s="12" t="s">
        <v>856</v>
      </c>
      <c r="G43" s="562"/>
    </row>
    <row r="44" spans="1:28" s="41" customFormat="1" ht="19.5" customHeight="1">
      <c r="A44" s="1200"/>
      <c r="B44" s="125" t="s">
        <v>571</v>
      </c>
      <c r="C44" s="1203"/>
      <c r="D44" s="1203"/>
      <c r="E44" s="249" t="s">
        <v>159</v>
      </c>
      <c r="F44" s="12"/>
      <c r="G44" s="562"/>
    </row>
    <row r="45" spans="1:28" s="41" customFormat="1" ht="25.5" customHeight="1">
      <c r="A45" s="1200"/>
      <c r="B45" s="125" t="s">
        <v>708</v>
      </c>
      <c r="C45" s="1203"/>
      <c r="D45" s="1203"/>
      <c r="E45" s="120" t="s">
        <v>709</v>
      </c>
      <c r="F45" s="12"/>
      <c r="G45" s="562"/>
    </row>
    <row r="46" spans="1:28" s="41" customFormat="1" ht="19.5" customHeight="1">
      <c r="A46" s="1200"/>
      <c r="B46" s="125"/>
      <c r="C46" s="1203"/>
      <c r="D46" s="1203"/>
      <c r="E46" s="613" t="s">
        <v>160</v>
      </c>
      <c r="F46" s="1004"/>
      <c r="G46" s="562"/>
    </row>
    <row r="47" spans="1:28" s="41" customFormat="1" ht="14.25" customHeight="1">
      <c r="A47" s="1199" t="s">
        <v>65</v>
      </c>
      <c r="B47" s="691" t="s">
        <v>739</v>
      </c>
      <c r="C47" s="1202" t="s">
        <v>740</v>
      </c>
      <c r="D47" s="1202">
        <v>0.6</v>
      </c>
      <c r="E47" s="616" t="s">
        <v>148</v>
      </c>
      <c r="F47" s="617" t="s">
        <v>790</v>
      </c>
      <c r="G47" s="572">
        <f>(25.808+13.814*0.6)*0.6*1.3*1.43*0*0.962</f>
        <v>0</v>
      </c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</row>
    <row r="48" spans="1:28" s="41" customFormat="1" ht="14.25" customHeight="1">
      <c r="A48" s="1200"/>
      <c r="B48" s="614" t="s">
        <v>741</v>
      </c>
      <c r="C48" s="1203"/>
      <c r="D48" s="1203"/>
      <c r="E48" s="249" t="s">
        <v>156</v>
      </c>
      <c r="F48" s="12" t="s">
        <v>857</v>
      </c>
      <c r="G48" s="204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</row>
    <row r="49" spans="1:28" s="41" customFormat="1" ht="14.25" customHeight="1">
      <c r="A49" s="1200"/>
      <c r="B49" s="226"/>
      <c r="C49" s="1203"/>
      <c r="D49" s="1203"/>
      <c r="E49" s="245" t="s">
        <v>742</v>
      </c>
      <c r="F49" s="12"/>
      <c r="G49" s="204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</row>
    <row r="50" spans="1:28" s="41" customFormat="1" ht="14.25" customHeight="1">
      <c r="A50" s="1200"/>
      <c r="B50" s="226"/>
      <c r="C50" s="1203"/>
      <c r="D50" s="1203"/>
      <c r="E50" s="245" t="s">
        <v>743</v>
      </c>
      <c r="F50" s="12"/>
      <c r="G50" s="204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</row>
    <row r="51" spans="1:28" s="41" customFormat="1" ht="14.25" customHeight="1">
      <c r="A51" s="1200"/>
      <c r="B51" s="93"/>
      <c r="C51" s="1203"/>
      <c r="D51" s="1203"/>
      <c r="E51" s="245" t="s">
        <v>744</v>
      </c>
      <c r="F51" s="12"/>
      <c r="G51" s="204"/>
      <c r="H51" s="998"/>
      <c r="I51" s="998"/>
      <c r="J51" s="998"/>
      <c r="K51" s="998"/>
      <c r="L51" s="998"/>
      <c r="M51" s="998"/>
      <c r="N51" s="998"/>
      <c r="O51" s="998"/>
      <c r="P51" s="998"/>
      <c r="Q51" s="998"/>
      <c r="R51" s="998"/>
      <c r="S51" s="998"/>
      <c r="T51" s="998"/>
      <c r="U51" s="998"/>
      <c r="V51" s="998"/>
      <c r="W51" s="998"/>
      <c r="X51" s="998"/>
      <c r="Y51" s="998"/>
      <c r="Z51" s="998"/>
      <c r="AA51" s="998"/>
      <c r="AB51" s="998"/>
    </row>
    <row r="52" spans="1:28" s="41" customFormat="1" ht="14.25" customHeight="1">
      <c r="A52" s="1201"/>
      <c r="B52" s="254"/>
      <c r="C52" s="1204"/>
      <c r="D52" s="1204"/>
      <c r="E52" s="999" t="s">
        <v>745</v>
      </c>
      <c r="F52" s="615"/>
      <c r="G52" s="66"/>
      <c r="H52" s="998"/>
      <c r="I52" s="998"/>
      <c r="J52" s="998"/>
      <c r="K52" s="998"/>
      <c r="L52" s="998"/>
      <c r="M52" s="998"/>
      <c r="N52" s="998"/>
      <c r="O52" s="998"/>
      <c r="P52" s="998"/>
      <c r="Q52" s="998"/>
      <c r="R52" s="998"/>
      <c r="S52" s="998"/>
      <c r="T52" s="998"/>
      <c r="U52" s="998"/>
      <c r="V52" s="998"/>
      <c r="W52" s="998"/>
      <c r="X52" s="998"/>
      <c r="Y52" s="998"/>
      <c r="Z52" s="998"/>
      <c r="AA52" s="998"/>
      <c r="AB52" s="998"/>
    </row>
    <row r="53" spans="1:28" s="41" customFormat="1" ht="14.25" customHeight="1">
      <c r="A53" s="1199" t="s">
        <v>93</v>
      </c>
      <c r="B53" s="691" t="s">
        <v>739</v>
      </c>
      <c r="C53" s="1202" t="s">
        <v>740</v>
      </c>
      <c r="D53" s="1202">
        <v>0.7</v>
      </c>
      <c r="E53" s="616" t="s">
        <v>148</v>
      </c>
      <c r="F53" s="617" t="s">
        <v>825</v>
      </c>
      <c r="G53" s="572">
        <f>(25.808+13.814*0.7)*0.6*1.3*1.43*0*0.962</f>
        <v>0</v>
      </c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</row>
    <row r="54" spans="1:28" s="41" customFormat="1" ht="14.25" customHeight="1">
      <c r="A54" s="1200"/>
      <c r="B54" s="614" t="s">
        <v>741</v>
      </c>
      <c r="C54" s="1203"/>
      <c r="D54" s="1203"/>
      <c r="E54" s="249" t="s">
        <v>156</v>
      </c>
      <c r="F54" s="12" t="s">
        <v>857</v>
      </c>
      <c r="G54" s="204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</row>
    <row r="55" spans="1:28" s="41" customFormat="1" ht="14.25" customHeight="1">
      <c r="A55" s="1200"/>
      <c r="B55" s="226"/>
      <c r="C55" s="1203"/>
      <c r="D55" s="1203"/>
      <c r="E55" s="245" t="s">
        <v>742</v>
      </c>
      <c r="F55" s="12"/>
      <c r="G55" s="204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</row>
    <row r="56" spans="1:28" s="41" customFormat="1" ht="14.25" customHeight="1">
      <c r="A56" s="1200"/>
      <c r="B56" s="226"/>
      <c r="C56" s="1203"/>
      <c r="D56" s="1203"/>
      <c r="E56" s="245" t="s">
        <v>743</v>
      </c>
      <c r="F56" s="12"/>
      <c r="G56" s="204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</row>
    <row r="57" spans="1:28" s="41" customFormat="1" ht="14.25" customHeight="1">
      <c r="A57" s="1200"/>
      <c r="B57" s="93"/>
      <c r="C57" s="1203"/>
      <c r="D57" s="1203"/>
      <c r="E57" s="245" t="s">
        <v>744</v>
      </c>
      <c r="F57" s="12"/>
      <c r="G57" s="204"/>
      <c r="H57" s="998"/>
      <c r="I57" s="998"/>
      <c r="J57" s="998"/>
      <c r="K57" s="998"/>
      <c r="L57" s="998"/>
      <c r="M57" s="998"/>
      <c r="N57" s="998"/>
      <c r="O57" s="998"/>
      <c r="P57" s="998"/>
      <c r="Q57" s="998"/>
      <c r="R57" s="998"/>
      <c r="S57" s="998"/>
      <c r="T57" s="998"/>
      <c r="U57" s="998"/>
      <c r="V57" s="998"/>
      <c r="W57" s="998"/>
      <c r="X57" s="998"/>
      <c r="Y57" s="998"/>
      <c r="Z57" s="998"/>
      <c r="AA57" s="998"/>
      <c r="AB57" s="998"/>
    </row>
    <row r="58" spans="1:28" s="41" customFormat="1" ht="14.25" customHeight="1">
      <c r="A58" s="1201"/>
      <c r="B58" s="254"/>
      <c r="C58" s="1204"/>
      <c r="D58" s="1204"/>
      <c r="E58" s="999" t="s">
        <v>745</v>
      </c>
      <c r="F58" s="615"/>
      <c r="G58" s="66"/>
      <c r="H58" s="998"/>
      <c r="I58" s="998"/>
      <c r="J58" s="998"/>
      <c r="K58" s="998"/>
      <c r="L58" s="998"/>
      <c r="M58" s="998"/>
      <c r="N58" s="998"/>
      <c r="O58" s="998"/>
      <c r="P58" s="998"/>
      <c r="Q58" s="998"/>
      <c r="R58" s="998"/>
      <c r="S58" s="998"/>
      <c r="T58" s="998"/>
      <c r="U58" s="998"/>
      <c r="V58" s="998"/>
      <c r="W58" s="998"/>
      <c r="X58" s="998"/>
      <c r="Y58" s="998"/>
      <c r="Z58" s="998"/>
      <c r="AA58" s="998"/>
      <c r="AB58" s="998"/>
    </row>
    <row r="59" spans="1:28" s="13" customFormat="1" ht="15" customHeight="1">
      <c r="A59" s="989" t="s">
        <v>95</v>
      </c>
      <c r="B59" s="194" t="s">
        <v>580</v>
      </c>
      <c r="C59" s="1207" t="s">
        <v>142</v>
      </c>
      <c r="D59" s="1207">
        <v>0.7</v>
      </c>
      <c r="E59" s="95" t="s">
        <v>143</v>
      </c>
      <c r="F59" s="995" t="s">
        <v>859</v>
      </c>
      <c r="G59" s="985">
        <f>28.77*0.6*0</f>
        <v>0</v>
      </c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</row>
    <row r="60" spans="1:28" s="13" customFormat="1" ht="15" customHeight="1">
      <c r="A60" s="989"/>
      <c r="B60" s="54"/>
      <c r="C60" s="1207"/>
      <c r="D60" s="1207"/>
      <c r="E60" s="95" t="s">
        <v>144</v>
      </c>
      <c r="F60" s="93"/>
      <c r="G60" s="563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</row>
    <row r="61" spans="1:28" s="13" customFormat="1" ht="15" customHeight="1">
      <c r="A61" s="989"/>
      <c r="B61" s="54"/>
      <c r="C61" s="1207"/>
      <c r="D61" s="1207"/>
      <c r="E61" s="9" t="s">
        <v>145</v>
      </c>
      <c r="F61" s="244"/>
      <c r="G61" s="562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</row>
    <row r="62" spans="1:28" s="86" customFormat="1" ht="13.5" customHeight="1">
      <c r="A62" s="989"/>
      <c r="B62" s="613"/>
      <c r="C62" s="1207"/>
      <c r="D62" s="1207"/>
      <c r="E62" s="9" t="s">
        <v>146</v>
      </c>
      <c r="F62" s="244"/>
      <c r="G62" s="562"/>
      <c r="H62" s="13"/>
      <c r="I62" s="13"/>
      <c r="J62" s="13"/>
      <c r="K62" s="13"/>
      <c r="L62" s="244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</row>
    <row r="63" spans="1:28" s="86" customFormat="1" ht="14.25" customHeight="1">
      <c r="A63" s="990"/>
      <c r="B63" s="613"/>
      <c r="C63" s="1208"/>
      <c r="D63" s="1208"/>
      <c r="E63" s="207" t="s">
        <v>858</v>
      </c>
      <c r="F63" s="315"/>
      <c r="G63" s="561"/>
      <c r="H63" s="13"/>
      <c r="I63" s="13"/>
      <c r="J63" s="13"/>
      <c r="K63" s="13"/>
      <c r="L63" s="244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</row>
    <row r="64" spans="1:28" s="13" customFormat="1" ht="15" customHeight="1">
      <c r="A64" s="989" t="s">
        <v>258</v>
      </c>
      <c r="B64" s="194" t="s">
        <v>581</v>
      </c>
      <c r="C64" s="1207" t="s">
        <v>142</v>
      </c>
      <c r="D64" s="1207">
        <v>0.7</v>
      </c>
      <c r="E64" s="95" t="s">
        <v>143</v>
      </c>
      <c r="F64" s="995" t="s">
        <v>860</v>
      </c>
      <c r="G64" s="572">
        <f>28.77*0.6*0*0.35</f>
        <v>0</v>
      </c>
      <c r="H64" s="41"/>
      <c r="I64" s="41"/>
      <c r="J64" s="41"/>
      <c r="K64" s="41"/>
      <c r="L64" s="16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</row>
    <row r="65" spans="1:28" s="13" customFormat="1" ht="15" customHeight="1">
      <c r="A65" s="989"/>
      <c r="B65" s="54"/>
      <c r="C65" s="1207"/>
      <c r="D65" s="1207"/>
      <c r="E65" s="95" t="s">
        <v>144</v>
      </c>
      <c r="F65" s="93"/>
      <c r="G65" s="563"/>
      <c r="H65" s="41"/>
      <c r="I65" s="41"/>
      <c r="J65" s="41"/>
      <c r="K65" s="41"/>
      <c r="L65" s="16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</row>
    <row r="66" spans="1:28" s="13" customFormat="1" ht="15" customHeight="1">
      <c r="A66" s="989"/>
      <c r="B66" s="54"/>
      <c r="C66" s="1207"/>
      <c r="D66" s="1207"/>
      <c r="E66" s="9" t="s">
        <v>145</v>
      </c>
      <c r="F66" s="244"/>
      <c r="G66" s="562"/>
      <c r="H66" s="41"/>
      <c r="I66" s="41"/>
      <c r="J66" s="41"/>
      <c r="K66" s="41"/>
      <c r="L66" s="16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</row>
    <row r="67" spans="1:28" s="86" customFormat="1" ht="13.5" customHeight="1">
      <c r="A67" s="989"/>
      <c r="B67" s="613"/>
      <c r="C67" s="1207"/>
      <c r="D67" s="1207"/>
      <c r="E67" s="9" t="s">
        <v>146</v>
      </c>
      <c r="F67" s="244"/>
      <c r="G67" s="562"/>
      <c r="H67" s="13"/>
      <c r="I67" s="13"/>
      <c r="J67" s="13"/>
      <c r="K67" s="13"/>
      <c r="L67" s="695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</row>
    <row r="68" spans="1:28" s="86" customFormat="1" ht="33.75">
      <c r="A68" s="989"/>
      <c r="B68" s="613"/>
      <c r="C68" s="1207"/>
      <c r="D68" s="1207"/>
      <c r="E68" s="956" t="s">
        <v>775</v>
      </c>
      <c r="F68" s="244"/>
      <c r="G68" s="562"/>
      <c r="H68" s="13"/>
      <c r="I68" s="13"/>
      <c r="J68" s="13"/>
      <c r="K68" s="13"/>
      <c r="L68" s="695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</row>
    <row r="69" spans="1:28" s="86" customFormat="1" ht="14.25" customHeight="1">
      <c r="A69" s="990"/>
      <c r="B69" s="957"/>
      <c r="C69" s="1208"/>
      <c r="D69" s="1208"/>
      <c r="E69" s="207" t="s">
        <v>858</v>
      </c>
      <c r="F69" s="315"/>
      <c r="G69" s="561"/>
      <c r="H69" s="13"/>
      <c r="I69" s="13"/>
      <c r="J69" s="13"/>
      <c r="K69" s="13"/>
      <c r="L69" s="695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</row>
    <row r="70" spans="1:28" s="914" customFormat="1" ht="16.5" customHeight="1">
      <c r="A70" s="988" t="s">
        <v>259</v>
      </c>
      <c r="B70" s="194" t="s">
        <v>510</v>
      </c>
      <c r="C70" s="1202" t="s">
        <v>574</v>
      </c>
      <c r="D70" s="1211">
        <v>2.76</v>
      </c>
      <c r="E70" s="638" t="s">
        <v>1</v>
      </c>
      <c r="F70" s="963" t="s">
        <v>555</v>
      </c>
      <c r="G70" s="964">
        <f>(58.42+58.42*2.76)*0.6*1.15*1.43*0*0.51</f>
        <v>0</v>
      </c>
    </row>
    <row r="71" spans="1:28" s="41" customFormat="1" ht="14.25" customHeight="1">
      <c r="A71" s="989"/>
      <c r="B71" s="8" t="s">
        <v>511</v>
      </c>
      <c r="C71" s="1203"/>
      <c r="D71" s="1212"/>
      <c r="E71" s="94" t="s">
        <v>174</v>
      </c>
      <c r="F71" s="961" t="s">
        <v>861</v>
      </c>
      <c r="G71" s="656"/>
    </row>
    <row r="72" spans="1:28" s="41" customFormat="1" ht="14.25" customHeight="1">
      <c r="A72" s="989"/>
      <c r="B72" s="8" t="s">
        <v>711</v>
      </c>
      <c r="C72" s="1203"/>
      <c r="D72" s="1212"/>
      <c r="E72" s="94" t="s">
        <v>487</v>
      </c>
      <c r="F72" s="961"/>
      <c r="G72" s="985"/>
    </row>
    <row r="73" spans="1:28" s="41" customFormat="1" ht="14.25" customHeight="1">
      <c r="A73" s="989"/>
      <c r="B73" s="995" t="s">
        <v>512</v>
      </c>
      <c r="C73" s="1203"/>
      <c r="D73" s="1212"/>
      <c r="E73" s="94" t="s">
        <v>752</v>
      </c>
      <c r="F73" s="961"/>
      <c r="G73" s="985"/>
    </row>
    <row r="74" spans="1:28" s="41" customFormat="1" ht="28.5" customHeight="1">
      <c r="A74" s="960"/>
      <c r="B74" s="995" t="s">
        <v>551</v>
      </c>
      <c r="C74" s="1209"/>
      <c r="D74" s="1212"/>
      <c r="E74" s="94" t="s">
        <v>572</v>
      </c>
      <c r="F74" s="961"/>
      <c r="G74" s="985"/>
    </row>
    <row r="75" spans="1:28" s="41" customFormat="1" ht="15" customHeight="1">
      <c r="A75" s="960"/>
      <c r="B75" s="995"/>
      <c r="C75" s="1209"/>
      <c r="D75" s="1212"/>
      <c r="E75" s="94" t="s">
        <v>749</v>
      </c>
      <c r="F75" s="961"/>
      <c r="G75" s="985"/>
    </row>
    <row r="76" spans="1:28" s="41" customFormat="1" ht="22.5" customHeight="1">
      <c r="A76" s="960"/>
      <c r="B76" s="995"/>
      <c r="C76" s="1209"/>
      <c r="D76" s="1212"/>
      <c r="E76" s="94" t="s">
        <v>750</v>
      </c>
      <c r="F76" s="961"/>
      <c r="G76" s="985"/>
    </row>
    <row r="77" spans="1:28" s="41" customFormat="1" ht="24" customHeight="1">
      <c r="A77" s="965"/>
      <c r="B77" s="996"/>
      <c r="C77" s="1210"/>
      <c r="D77" s="1213"/>
      <c r="E77" s="118" t="s">
        <v>751</v>
      </c>
      <c r="F77" s="962"/>
      <c r="G77" s="986"/>
    </row>
    <row r="78" spans="1:28" s="13" customFormat="1" ht="15" customHeight="1">
      <c r="A78" s="989" t="s">
        <v>588</v>
      </c>
      <c r="B78" s="995" t="s">
        <v>710</v>
      </c>
      <c r="C78" s="1203" t="s">
        <v>574</v>
      </c>
      <c r="D78" s="1203">
        <v>0.15</v>
      </c>
      <c r="E78" s="95" t="s">
        <v>1</v>
      </c>
      <c r="F78" s="93" t="s">
        <v>782</v>
      </c>
      <c r="G78" s="611">
        <f>175.26*0.6*1.15*1.43*0*0.8</f>
        <v>0</v>
      </c>
    </row>
    <row r="79" spans="1:28" s="13" customFormat="1" ht="15" customHeight="1">
      <c r="A79" s="989"/>
      <c r="B79" s="995" t="s">
        <v>820</v>
      </c>
      <c r="C79" s="1203"/>
      <c r="D79" s="1203"/>
      <c r="E79" s="95" t="s">
        <v>174</v>
      </c>
      <c r="F79" s="93" t="s">
        <v>862</v>
      </c>
      <c r="G79" s="564"/>
    </row>
    <row r="80" spans="1:28" s="13" customFormat="1" ht="15" customHeight="1">
      <c r="A80" s="989"/>
      <c r="B80" s="995"/>
      <c r="C80" s="1203"/>
      <c r="D80" s="1203"/>
      <c r="E80" s="95" t="s">
        <v>175</v>
      </c>
      <c r="F80" s="93"/>
      <c r="G80" s="563"/>
    </row>
    <row r="81" spans="1:7" s="13" customFormat="1" ht="15" customHeight="1">
      <c r="A81" s="989"/>
      <c r="B81" s="93"/>
      <c r="C81" s="1203"/>
      <c r="D81" s="1203"/>
      <c r="E81" s="959" t="s">
        <v>783</v>
      </c>
      <c r="F81" s="93"/>
      <c r="G81" s="563"/>
    </row>
    <row r="82" spans="1:7" s="13" customFormat="1" ht="15" customHeight="1">
      <c r="A82" s="989"/>
      <c r="B82" s="93"/>
      <c r="C82" s="1203"/>
      <c r="D82" s="1203"/>
      <c r="E82" s="95" t="s">
        <v>712</v>
      </c>
      <c r="F82" s="93"/>
      <c r="G82" s="563"/>
    </row>
    <row r="83" spans="1:7" s="13" customFormat="1" ht="15" customHeight="1">
      <c r="A83" s="989"/>
      <c r="B83" s="93"/>
      <c r="C83" s="1203"/>
      <c r="D83" s="1203"/>
      <c r="E83" s="95" t="s">
        <v>784</v>
      </c>
      <c r="F83" s="93"/>
      <c r="G83" s="563"/>
    </row>
    <row r="84" spans="1:7" s="13" customFormat="1" ht="15" customHeight="1">
      <c r="A84" s="989"/>
      <c r="B84" s="93"/>
      <c r="C84" s="1203"/>
      <c r="D84" s="1203"/>
      <c r="E84" s="95" t="s">
        <v>785</v>
      </c>
      <c r="F84" s="93"/>
      <c r="G84" s="563"/>
    </row>
    <row r="85" spans="1:7" s="13" customFormat="1" ht="15" customHeight="1">
      <c r="A85" s="989"/>
      <c r="B85" s="93"/>
      <c r="C85" s="1203"/>
      <c r="D85" s="1203"/>
      <c r="E85" s="95" t="s">
        <v>780</v>
      </c>
      <c r="F85" s="93"/>
      <c r="G85" s="563"/>
    </row>
    <row r="86" spans="1:7" s="13" customFormat="1" ht="22.5" customHeight="1">
      <c r="A86" s="989"/>
      <c r="B86" s="93"/>
      <c r="C86" s="1203"/>
      <c r="D86" s="1203"/>
      <c r="E86" s="95" t="s">
        <v>786</v>
      </c>
      <c r="F86" s="93"/>
      <c r="G86" s="563"/>
    </row>
    <row r="87" spans="1:7" s="13" customFormat="1" ht="22.5" customHeight="1">
      <c r="A87" s="989"/>
      <c r="B87" s="93"/>
      <c r="C87" s="1203"/>
      <c r="D87" s="1203"/>
      <c r="E87" s="95" t="s">
        <v>750</v>
      </c>
      <c r="F87" s="93"/>
      <c r="G87" s="563"/>
    </row>
    <row r="88" spans="1:7" s="13" customFormat="1" ht="15" customHeight="1">
      <c r="A88" s="989"/>
      <c r="B88" s="93"/>
      <c r="C88" s="1203"/>
      <c r="D88" s="1203"/>
      <c r="E88" s="95" t="s">
        <v>751</v>
      </c>
      <c r="F88" s="93"/>
      <c r="G88" s="563"/>
    </row>
    <row r="89" spans="1:7" s="41" customFormat="1" ht="17.25" customHeight="1">
      <c r="A89" s="1199" t="s">
        <v>596</v>
      </c>
      <c r="B89" s="661" t="s">
        <v>519</v>
      </c>
      <c r="C89" s="1202" t="s">
        <v>520</v>
      </c>
      <c r="D89" s="1202">
        <v>1</v>
      </c>
      <c r="E89" s="657" t="s">
        <v>521</v>
      </c>
      <c r="F89" s="617" t="s">
        <v>791</v>
      </c>
      <c r="G89" s="203">
        <f>2.304*0.6*1.15*1.2*1.43*0*0.33</f>
        <v>0</v>
      </c>
    </row>
    <row r="90" spans="1:7" s="41" customFormat="1" ht="17.25" customHeight="1">
      <c r="A90" s="1200"/>
      <c r="B90" s="11" t="s">
        <v>522</v>
      </c>
      <c r="C90" s="1203"/>
      <c r="D90" s="1203"/>
      <c r="E90" s="9" t="s">
        <v>523</v>
      </c>
      <c r="F90" s="12" t="s">
        <v>863</v>
      </c>
      <c r="G90" s="204"/>
    </row>
    <row r="91" spans="1:7" s="41" customFormat="1" ht="17.25" customHeight="1">
      <c r="A91" s="1200"/>
      <c r="B91" s="11" t="s">
        <v>714</v>
      </c>
      <c r="C91" s="1203"/>
      <c r="D91" s="1203"/>
      <c r="E91" s="9" t="s">
        <v>524</v>
      </c>
      <c r="F91" s="12"/>
      <c r="G91" s="204"/>
    </row>
    <row r="92" spans="1:7" s="41" customFormat="1" ht="17.25" customHeight="1">
      <c r="A92" s="1200"/>
      <c r="B92" s="11"/>
      <c r="C92" s="1203"/>
      <c r="D92" s="1203"/>
      <c r="E92" s="9" t="s">
        <v>525</v>
      </c>
      <c r="F92" s="12"/>
      <c r="G92" s="204"/>
    </row>
    <row r="93" spans="1:7" s="41" customFormat="1" ht="45">
      <c r="A93" s="1200"/>
      <c r="B93" s="11"/>
      <c r="C93" s="1203"/>
      <c r="D93" s="1203"/>
      <c r="E93" s="958" t="s">
        <v>715</v>
      </c>
      <c r="F93" s="12"/>
      <c r="G93" s="204"/>
    </row>
    <row r="94" spans="1:7" s="41" customFormat="1" ht="33.75">
      <c r="A94" s="1200"/>
      <c r="B94" s="11"/>
      <c r="C94" s="1203"/>
      <c r="D94" s="1203"/>
      <c r="E94" s="958" t="s">
        <v>716</v>
      </c>
      <c r="F94" s="12"/>
      <c r="G94" s="204"/>
    </row>
    <row r="95" spans="1:7" s="41" customFormat="1" ht="24" customHeight="1">
      <c r="A95" s="990"/>
      <c r="B95" s="696"/>
      <c r="C95" s="992"/>
      <c r="D95" s="697"/>
      <c r="E95" s="915" t="s">
        <v>717</v>
      </c>
      <c r="F95" s="698"/>
      <c r="G95" s="66"/>
    </row>
    <row r="96" spans="1:7" s="41" customFormat="1" ht="16.5" customHeight="1">
      <c r="A96" s="1200" t="s">
        <v>597</v>
      </c>
      <c r="B96" s="11" t="s">
        <v>527</v>
      </c>
      <c r="C96" s="1203" t="s">
        <v>520</v>
      </c>
      <c r="D96" s="1203">
        <v>1</v>
      </c>
      <c r="E96" s="9" t="s">
        <v>521</v>
      </c>
      <c r="F96" s="12" t="s">
        <v>864</v>
      </c>
      <c r="G96" s="204">
        <f>2.074*0.6*1.2*1.43*0*0.33</f>
        <v>0</v>
      </c>
    </row>
    <row r="97" spans="1:28" s="41" customFormat="1" ht="16.5" customHeight="1">
      <c r="A97" s="1200"/>
      <c r="B97" s="11" t="s">
        <v>714</v>
      </c>
      <c r="C97" s="1203"/>
      <c r="D97" s="1203"/>
      <c r="E97" s="9" t="s">
        <v>523</v>
      </c>
      <c r="F97" s="12"/>
      <c r="G97" s="204"/>
    </row>
    <row r="98" spans="1:28" s="41" customFormat="1" ht="16.5" customHeight="1">
      <c r="A98" s="1200"/>
      <c r="B98" s="11"/>
      <c r="C98" s="1203"/>
      <c r="D98" s="1203"/>
      <c r="E98" s="9" t="s">
        <v>524</v>
      </c>
      <c r="F98" s="12"/>
      <c r="G98" s="204"/>
    </row>
    <row r="99" spans="1:28" s="41" customFormat="1" ht="16.5" customHeight="1">
      <c r="A99" s="1200"/>
      <c r="B99" s="11"/>
      <c r="C99" s="1203"/>
      <c r="D99" s="1203"/>
      <c r="E99" s="9" t="s">
        <v>528</v>
      </c>
      <c r="F99" s="12"/>
      <c r="G99" s="204"/>
    </row>
    <row r="100" spans="1:28" s="41" customFormat="1" ht="16.5" customHeight="1">
      <c r="A100" s="1200"/>
      <c r="B100" s="11"/>
      <c r="C100" s="1203"/>
      <c r="D100" s="1203"/>
      <c r="E100" s="958" t="s">
        <v>718</v>
      </c>
      <c r="F100" s="12"/>
      <c r="G100" s="204"/>
    </row>
    <row r="101" spans="1:28" s="41" customFormat="1" ht="16.5" customHeight="1">
      <c r="A101" s="1200"/>
      <c r="B101" s="11"/>
      <c r="C101" s="1203"/>
      <c r="D101" s="1203"/>
      <c r="E101" s="9" t="s">
        <v>526</v>
      </c>
      <c r="F101" s="12"/>
      <c r="G101" s="204"/>
    </row>
    <row r="102" spans="1:28" s="41" customFormat="1" ht="24" customHeight="1">
      <c r="A102" s="989"/>
      <c r="B102" s="659"/>
      <c r="C102" s="991"/>
      <c r="D102" s="660"/>
      <c r="E102" s="94" t="s">
        <v>553</v>
      </c>
      <c r="F102" s="658"/>
      <c r="G102" s="204"/>
    </row>
    <row r="103" spans="1:28" s="13" customFormat="1" ht="15" customHeight="1">
      <c r="A103" s="1194" t="s">
        <v>787</v>
      </c>
      <c r="B103" s="194" t="s">
        <v>529</v>
      </c>
      <c r="C103" s="1194" t="s">
        <v>520</v>
      </c>
      <c r="D103" s="1194">
        <v>1</v>
      </c>
      <c r="E103" s="657" t="s">
        <v>521</v>
      </c>
      <c r="F103" s="617" t="s">
        <v>865</v>
      </c>
      <c r="G103" s="203">
        <f>1.843*0.6*1.43*0*0.43</f>
        <v>0</v>
      </c>
    </row>
    <row r="104" spans="1:28" s="13" customFormat="1" ht="15" customHeight="1">
      <c r="A104" s="1195"/>
      <c r="B104" s="8" t="s">
        <v>714</v>
      </c>
      <c r="C104" s="1195"/>
      <c r="D104" s="1195"/>
      <c r="E104" s="9" t="s">
        <v>523</v>
      </c>
      <c r="F104" s="12"/>
      <c r="G104" s="204"/>
    </row>
    <row r="105" spans="1:28" s="13" customFormat="1" ht="15" customHeight="1">
      <c r="A105" s="1195"/>
      <c r="B105" s="8"/>
      <c r="C105" s="1195"/>
      <c r="D105" s="1195"/>
      <c r="E105" s="9" t="s">
        <v>524</v>
      </c>
      <c r="F105" s="12"/>
      <c r="G105" s="204"/>
    </row>
    <row r="106" spans="1:28" s="13" customFormat="1" ht="15" customHeight="1">
      <c r="A106" s="1195"/>
      <c r="B106" s="8"/>
      <c r="C106" s="1195"/>
      <c r="D106" s="1195"/>
      <c r="E106" s="9" t="s">
        <v>530</v>
      </c>
      <c r="F106" s="12"/>
      <c r="G106" s="204"/>
    </row>
    <row r="107" spans="1:28" s="41" customFormat="1" ht="30" customHeight="1">
      <c r="A107" s="989"/>
      <c r="B107" s="659"/>
      <c r="C107" s="991"/>
      <c r="D107" s="660"/>
      <c r="E107" s="94" t="s">
        <v>554</v>
      </c>
      <c r="F107" s="658"/>
      <c r="G107" s="204"/>
    </row>
    <row r="108" spans="1:28" s="41" customFormat="1" ht="21.75" customHeight="1">
      <c r="A108" s="34"/>
      <c r="B108" s="34"/>
      <c r="C108" s="34"/>
      <c r="D108" s="34"/>
      <c r="E108" s="34"/>
      <c r="F108" s="1000" t="s">
        <v>9</v>
      </c>
      <c r="G108" s="215">
        <f>SUM(G15:G107)</f>
        <v>0</v>
      </c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</row>
    <row r="109" spans="1:28" s="53" customFormat="1" ht="12.75" customHeight="1">
      <c r="A109" s="25"/>
      <c r="B109" s="25"/>
      <c r="C109" s="25"/>
      <c r="D109" s="25"/>
      <c r="E109" s="26"/>
      <c r="F109" s="25"/>
      <c r="G109" s="28"/>
      <c r="H109" s="67"/>
      <c r="I109" s="67"/>
      <c r="J109" s="67"/>
      <c r="K109" s="67"/>
      <c r="L109" s="67"/>
      <c r="M109" s="67"/>
      <c r="N109" s="67"/>
      <c r="O109" s="67"/>
      <c r="P109" s="67"/>
      <c r="Q109" s="67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</row>
    <row r="110" spans="1:28" s="13" customFormat="1" ht="15" hidden="1" customHeight="1">
      <c r="A110" s="1198"/>
      <c r="B110" s="1198"/>
      <c r="C110" s="1197"/>
      <c r="D110" s="1197"/>
      <c r="E110" s="719"/>
      <c r="F110" s="719"/>
      <c r="G110" s="719"/>
    </row>
    <row r="111" spans="1:28" s="13" customFormat="1" ht="12" hidden="1" customHeight="1">
      <c r="A111" s="25"/>
      <c r="B111" s="25"/>
      <c r="C111" s="25"/>
      <c r="D111" s="25"/>
      <c r="E111" s="26"/>
      <c r="F111" s="25"/>
      <c r="G111" s="28"/>
    </row>
    <row r="112" spans="1:28" s="86" customFormat="1" ht="17.25" hidden="1" customHeight="1">
      <c r="A112" s="1082" t="s">
        <v>28</v>
      </c>
      <c r="B112" s="1082"/>
      <c r="C112" s="983"/>
      <c r="D112" s="983"/>
      <c r="E112" s="983"/>
      <c r="F112" s="983"/>
      <c r="G112" s="98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</row>
    <row r="113" spans="1:28" s="86" customFormat="1" ht="1.5" customHeight="1">
      <c r="A113" s="983"/>
      <c r="B113" s="983"/>
      <c r="C113" s="983"/>
      <c r="D113" s="983"/>
      <c r="E113" s="983"/>
      <c r="F113" s="983"/>
      <c r="G113" s="98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</row>
    <row r="114" spans="1:28" s="86" customFormat="1" ht="15.75">
      <c r="A114" s="1176"/>
      <c r="B114" s="1176"/>
      <c r="C114" s="987"/>
      <c r="D114" s="987"/>
      <c r="E114" s="61"/>
      <c r="F114" s="984"/>
      <c r="G114" s="8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</row>
    <row r="115" spans="1:28" ht="15.75">
      <c r="A115" s="983"/>
      <c r="B115" s="987" t="s">
        <v>729</v>
      </c>
      <c r="C115" s="987"/>
      <c r="D115" s="987"/>
      <c r="E115" s="54"/>
      <c r="F115" s="84"/>
      <c r="G115" s="75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</row>
    <row r="116" spans="1:28" ht="15.75">
      <c r="A116" s="69"/>
      <c r="B116" s="68"/>
      <c r="C116" s="68"/>
      <c r="D116" s="68"/>
      <c r="E116" s="67"/>
      <c r="F116" s="621"/>
      <c r="G116" s="70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</row>
    <row r="117" spans="1:28" ht="15.75">
      <c r="A117" s="76"/>
      <c r="B117" s="76" t="s">
        <v>730</v>
      </c>
      <c r="C117" s="76"/>
      <c r="D117" s="76"/>
      <c r="E117" s="61"/>
      <c r="F117" s="984" t="s">
        <v>577</v>
      </c>
      <c r="G117" s="83"/>
      <c r="H117" s="86"/>
      <c r="I117" s="86"/>
      <c r="J117" s="86"/>
      <c r="K117" s="86"/>
      <c r="L117" s="86"/>
      <c r="M117" s="86"/>
      <c r="N117" s="86"/>
      <c r="O117" s="86"/>
      <c r="P117" s="86"/>
      <c r="Q117" s="86"/>
      <c r="R117" s="86"/>
      <c r="S117" s="86"/>
      <c r="T117" s="86"/>
      <c r="U117" s="86"/>
      <c r="V117" s="86"/>
      <c r="W117" s="86"/>
      <c r="X117" s="86"/>
      <c r="Y117" s="86"/>
      <c r="Z117" s="86"/>
      <c r="AA117" s="86"/>
      <c r="AB117" s="86"/>
    </row>
    <row r="118" spans="1:28" ht="15.75" hidden="1">
      <c r="A118" s="77" t="s">
        <v>29</v>
      </c>
      <c r="B118" s="1"/>
      <c r="C118" s="1"/>
      <c r="D118" s="1"/>
      <c r="E118" s="1"/>
      <c r="F118" s="997"/>
      <c r="G118" s="1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  <c r="T118" s="86"/>
      <c r="U118" s="86"/>
      <c r="V118" s="86"/>
      <c r="W118" s="86"/>
      <c r="X118" s="86"/>
      <c r="Y118" s="86"/>
      <c r="Z118" s="86"/>
      <c r="AA118" s="86"/>
      <c r="AB118" s="86"/>
    </row>
    <row r="119" spans="1:28" ht="30.75" hidden="1" customHeight="1">
      <c r="A119" s="720" t="s">
        <v>575</v>
      </c>
      <c r="B119" s="721"/>
      <c r="C119" s="721"/>
      <c r="D119" s="721"/>
      <c r="E119" s="722"/>
      <c r="F119" s="723"/>
      <c r="G119" s="707"/>
      <c r="H119" s="86"/>
      <c r="I119" s="86"/>
      <c r="J119" s="86"/>
      <c r="K119" s="86"/>
      <c r="L119" s="86"/>
      <c r="M119" s="86"/>
      <c r="N119" s="86"/>
      <c r="O119" s="86"/>
      <c r="P119" s="86"/>
      <c r="Q119" s="86"/>
      <c r="R119" s="86"/>
      <c r="S119" s="86"/>
      <c r="T119" s="86"/>
      <c r="U119" s="86"/>
      <c r="V119" s="86"/>
      <c r="W119" s="86"/>
      <c r="X119" s="86"/>
      <c r="Y119" s="86"/>
      <c r="Z119" s="86"/>
      <c r="AA119" s="86"/>
      <c r="AB119" s="86"/>
    </row>
    <row r="120" spans="1:28" ht="15.75" hidden="1">
      <c r="A120" s="720"/>
      <c r="B120" s="721"/>
      <c r="C120" s="721"/>
      <c r="D120" s="721"/>
      <c r="E120" s="722"/>
      <c r="F120" s="724"/>
      <c r="G120" s="701"/>
    </row>
    <row r="121" spans="1:28" ht="15.75" hidden="1">
      <c r="A121" s="725" t="s">
        <v>600</v>
      </c>
      <c r="B121" s="725"/>
      <c r="C121" s="725"/>
      <c r="D121" s="725"/>
      <c r="E121" s="725"/>
      <c r="F121" s="726" t="s">
        <v>573</v>
      </c>
      <c r="G121" s="710"/>
    </row>
    <row r="122" spans="1:28" ht="15.75" hidden="1">
      <c r="A122" s="710"/>
      <c r="B122" s="710"/>
      <c r="C122" s="710"/>
      <c r="D122" s="710"/>
      <c r="E122" s="710"/>
      <c r="F122" s="708"/>
      <c r="G122" s="712"/>
    </row>
    <row r="123" spans="1:28" ht="15.75" hidden="1">
      <c r="A123" s="727" t="s">
        <v>576</v>
      </c>
      <c r="B123" s="728"/>
      <c r="C123" s="728"/>
      <c r="D123" s="68"/>
      <c r="E123" s="68"/>
      <c r="F123" s="729" t="s">
        <v>577</v>
      </c>
      <c r="G123" s="729"/>
    </row>
    <row r="124" spans="1:28" s="86" customFormat="1" ht="17.25" customHeight="1">
      <c r="A124" s="1082"/>
      <c r="B124" s="1082"/>
      <c r="C124" s="983"/>
      <c r="D124" s="983"/>
      <c r="E124" s="983"/>
      <c r="F124" s="983"/>
      <c r="G124" s="98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</row>
    <row r="125" spans="1:28" s="86" customFormat="1" ht="15.75">
      <c r="A125" s="983"/>
      <c r="B125" s="983"/>
      <c r="C125" s="983"/>
      <c r="D125" s="983"/>
      <c r="E125" s="983"/>
      <c r="F125" s="983"/>
      <c r="G125" s="98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</row>
    <row r="126" spans="1:28" s="86" customFormat="1" ht="15.75">
      <c r="A126" s="1176"/>
      <c r="B126" s="1176"/>
      <c r="C126" s="987"/>
      <c r="D126" s="987"/>
      <c r="E126" s="61"/>
      <c r="F126" s="984"/>
      <c r="G126" s="8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</row>
    <row r="127" spans="1:28" ht="15.75">
      <c r="A127" s="983"/>
      <c r="B127" s="987"/>
      <c r="C127" s="987"/>
      <c r="D127" s="987"/>
      <c r="E127" s="54"/>
      <c r="F127" s="84"/>
      <c r="G127" s="75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</row>
    <row r="128" spans="1:28" ht="15.75">
      <c r="A128" s="69"/>
      <c r="B128" s="68"/>
      <c r="C128" s="68"/>
      <c r="D128" s="68"/>
      <c r="E128" s="67"/>
      <c r="F128" s="621"/>
      <c r="G128" s="70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</row>
    <row r="129" spans="1:28" ht="15.75">
      <c r="A129" s="76"/>
      <c r="B129" s="76"/>
      <c r="C129" s="76"/>
      <c r="D129" s="76"/>
      <c r="E129" s="61"/>
      <c r="F129" s="984"/>
      <c r="G129" s="83"/>
      <c r="H129" s="86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  <c r="T129" s="86"/>
      <c r="U129" s="86"/>
      <c r="V129" s="86"/>
      <c r="W129" s="86"/>
      <c r="X129" s="86"/>
      <c r="Y129" s="86"/>
      <c r="Z129" s="86"/>
      <c r="AA129" s="86"/>
      <c r="AB129" s="86"/>
    </row>
    <row r="130" spans="1:28" ht="15.75">
      <c r="A130" s="77"/>
      <c r="B130" s="1"/>
      <c r="C130" s="1"/>
      <c r="D130" s="1"/>
      <c r="E130" s="1"/>
      <c r="F130" s="997"/>
      <c r="G130" s="1"/>
      <c r="H130" s="86"/>
      <c r="I130" s="86"/>
      <c r="J130" s="86"/>
      <c r="K130" s="86"/>
      <c r="L130" s="86"/>
      <c r="M130" s="86"/>
      <c r="N130" s="86"/>
      <c r="O130" s="86"/>
      <c r="P130" s="86"/>
      <c r="Q130" s="86"/>
      <c r="R130" s="86"/>
      <c r="S130" s="86"/>
      <c r="T130" s="86"/>
      <c r="U130" s="86"/>
      <c r="V130" s="86"/>
      <c r="W130" s="86"/>
      <c r="X130" s="86"/>
      <c r="Y130" s="86"/>
      <c r="Z130" s="86"/>
      <c r="AA130" s="86"/>
      <c r="AB130" s="86"/>
    </row>
    <row r="131" spans="1:28" ht="15.75">
      <c r="A131" s="703"/>
      <c r="B131" s="704"/>
      <c r="C131" s="704"/>
      <c r="D131" s="704"/>
      <c r="E131" s="705"/>
      <c r="F131" s="706"/>
      <c r="G131" s="707"/>
      <c r="H131" s="86"/>
      <c r="I131" s="86"/>
      <c r="J131" s="86"/>
      <c r="K131" s="86"/>
      <c r="L131" s="86"/>
      <c r="M131" s="86"/>
      <c r="N131" s="86"/>
      <c r="O131" s="86"/>
      <c r="P131" s="86"/>
      <c r="Q131" s="86"/>
      <c r="R131" s="86"/>
      <c r="S131" s="86"/>
      <c r="T131" s="86"/>
      <c r="U131" s="86"/>
      <c r="V131" s="86"/>
      <c r="W131" s="86"/>
      <c r="X131" s="86"/>
      <c r="Y131" s="86"/>
      <c r="Z131" s="86"/>
      <c r="AA131" s="86"/>
      <c r="AB131" s="86"/>
    </row>
    <row r="132" spans="1:28" ht="15.75">
      <c r="A132" s="703"/>
      <c r="B132" s="704"/>
      <c r="C132" s="704"/>
      <c r="D132" s="704"/>
      <c r="E132" s="705"/>
      <c r="F132" s="708"/>
      <c r="G132" s="701"/>
    </row>
    <row r="133" spans="1:28" ht="15.75">
      <c r="A133" s="703"/>
      <c r="B133" s="704"/>
      <c r="C133" s="704"/>
      <c r="D133" s="704"/>
      <c r="E133" s="705"/>
      <c r="F133" s="709"/>
      <c r="G133" s="701"/>
    </row>
    <row r="134" spans="1:28" ht="15.75">
      <c r="A134" s="710"/>
      <c r="B134" s="710"/>
      <c r="C134" s="710"/>
      <c r="D134" s="710"/>
      <c r="E134" s="710"/>
      <c r="F134" s="711"/>
      <c r="G134" s="710"/>
    </row>
    <row r="135" spans="1:28" ht="15.75">
      <c r="A135" s="710"/>
      <c r="B135" s="710"/>
      <c r="C135" s="710"/>
      <c r="D135" s="710"/>
      <c r="E135" s="710"/>
      <c r="F135" s="708"/>
      <c r="G135" s="712"/>
    </row>
    <row r="136" spans="1:28" ht="15.75">
      <c r="A136" s="993"/>
      <c r="B136" s="993"/>
      <c r="C136" s="993"/>
      <c r="D136" s="993"/>
      <c r="E136" s="993"/>
      <c r="F136" s="711"/>
      <c r="G136" s="993"/>
    </row>
    <row r="137" spans="1:28" ht="15.75">
      <c r="A137" s="1193"/>
      <c r="B137" s="1193"/>
      <c r="C137" s="1193"/>
      <c r="D137" s="1193"/>
      <c r="E137" s="1193"/>
      <c r="F137" s="1193"/>
      <c r="G137" s="1193"/>
    </row>
    <row r="138" spans="1:28" ht="15.75">
      <c r="A138" s="710"/>
      <c r="B138" s="710"/>
      <c r="C138" s="710"/>
      <c r="D138" s="710"/>
      <c r="E138" s="710"/>
      <c r="F138" s="714"/>
      <c r="G138" s="710"/>
    </row>
  </sheetData>
  <mergeCells count="43">
    <mergeCell ref="A126:B126"/>
    <mergeCell ref="A137:G137"/>
    <mergeCell ref="A110:B110"/>
    <mergeCell ref="C110:D110"/>
    <mergeCell ref="A112:B112"/>
    <mergeCell ref="A114:B114"/>
    <mergeCell ref="A124:B124"/>
    <mergeCell ref="A103:A106"/>
    <mergeCell ref="C103:C106"/>
    <mergeCell ref="D103:D106"/>
    <mergeCell ref="C64:C69"/>
    <mergeCell ref="D64:D69"/>
    <mergeCell ref="C70:C77"/>
    <mergeCell ref="D70:D77"/>
    <mergeCell ref="C78:C88"/>
    <mergeCell ref="D78:D88"/>
    <mergeCell ref="A89:A94"/>
    <mergeCell ref="C89:C94"/>
    <mergeCell ref="D89:D94"/>
    <mergeCell ref="A96:A101"/>
    <mergeCell ref="C96:C101"/>
    <mergeCell ref="D96:D101"/>
    <mergeCell ref="A42:A46"/>
    <mergeCell ref="C42:C46"/>
    <mergeCell ref="D42:D46"/>
    <mergeCell ref="C59:C63"/>
    <mergeCell ref="D59:D63"/>
    <mergeCell ref="A53:A58"/>
    <mergeCell ref="C53:C58"/>
    <mergeCell ref="D53:D58"/>
    <mergeCell ref="F6:G6"/>
    <mergeCell ref="A15:A28"/>
    <mergeCell ref="C15:C28"/>
    <mergeCell ref="D15:D28"/>
    <mergeCell ref="A33:A36"/>
    <mergeCell ref="C33:C36"/>
    <mergeCell ref="D33:D36"/>
    <mergeCell ref="A37:A41"/>
    <mergeCell ref="C37:C41"/>
    <mergeCell ref="D37:D41"/>
    <mergeCell ref="A47:A52"/>
    <mergeCell ref="C47:C52"/>
    <mergeCell ref="D47:D52"/>
  </mergeCells>
  <pageMargins left="0.74803149606299213" right="0.35433070866141736" top="0.19685039370078741" bottom="0.27559055118110237" header="0.15748031496062992" footer="0.15748031496062992"/>
  <pageSetup paperSize="9" scale="8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9"/>
  <sheetViews>
    <sheetView view="pageBreakPreview" topLeftCell="A9" zoomScaleNormal="100" workbookViewId="0">
      <selection activeCell="F38" sqref="F38"/>
    </sheetView>
  </sheetViews>
  <sheetFormatPr defaultRowHeight="14.25"/>
  <cols>
    <col min="1" max="1" width="5.7109375" style="25" customWidth="1"/>
    <col min="2" max="2" width="25" style="25" customWidth="1"/>
    <col min="3" max="3" width="8.7109375" style="25" customWidth="1"/>
    <col min="4" max="4" width="9" style="25" customWidth="1"/>
    <col min="5" max="5" width="19.28515625" style="26" customWidth="1"/>
    <col min="6" max="6" width="25" style="25" customWidth="1"/>
    <col min="7" max="7" width="12.5703125" style="28" customWidth="1"/>
    <col min="8" max="16384" width="9.140625" style="16"/>
  </cols>
  <sheetData>
    <row r="1" spans="1:11" s="68" customFormat="1" ht="15.75" hidden="1">
      <c r="A1" s="73"/>
      <c r="B1" s="73"/>
      <c r="C1" s="73"/>
      <c r="D1" s="73"/>
      <c r="E1" s="73"/>
      <c r="F1" s="1247" t="s">
        <v>662</v>
      </c>
      <c r="G1" s="1247"/>
      <c r="I1" s="10"/>
      <c r="J1" s="10"/>
      <c r="K1" s="73"/>
    </row>
    <row r="2" spans="1:11" s="68" customFormat="1" ht="15.75">
      <c r="A2" s="73"/>
      <c r="B2" s="73"/>
      <c r="C2" s="73"/>
      <c r="D2" s="73"/>
      <c r="E2" s="73"/>
      <c r="F2" s="898"/>
      <c r="G2" s="898"/>
      <c r="I2" s="898"/>
      <c r="J2" s="898"/>
      <c r="K2" s="73"/>
    </row>
    <row r="3" spans="1:11" s="86" customFormat="1" ht="15.75">
      <c r="A3" s="17"/>
      <c r="B3" s="19"/>
      <c r="C3" s="19"/>
      <c r="D3" s="19"/>
      <c r="E3" s="718" t="s">
        <v>436</v>
      </c>
      <c r="F3" s="17"/>
      <c r="G3" s="17"/>
    </row>
    <row r="4" spans="1:11" s="86" customFormat="1" ht="15.75">
      <c r="A4" s="19"/>
      <c r="B4" s="19"/>
      <c r="C4" s="19"/>
      <c r="D4" s="19"/>
      <c r="E4" s="20" t="s">
        <v>587</v>
      </c>
      <c r="F4" s="19"/>
      <c r="G4" s="19"/>
    </row>
    <row r="5" spans="1:11" s="86" customFormat="1" ht="6.75" customHeight="1">
      <c r="A5" s="19"/>
      <c r="B5" s="21"/>
      <c r="C5" s="21"/>
      <c r="D5" s="21"/>
      <c r="E5" s="22"/>
      <c r="F5" s="21"/>
      <c r="G5" s="23"/>
    </row>
    <row r="6" spans="1:11" s="86" customFormat="1" ht="47.25" customHeight="1">
      <c r="A6" s="87" t="s">
        <v>18</v>
      </c>
      <c r="B6" s="87"/>
      <c r="C6" s="87"/>
      <c r="D6" s="87"/>
      <c r="E6" s="88"/>
      <c r="F6" s="1248"/>
      <c r="G6" s="1248"/>
    </row>
    <row r="7" spans="1:11" s="86" customFormat="1" ht="16.5" customHeight="1">
      <c r="A7" s="21"/>
      <c r="B7" s="21"/>
      <c r="C7" s="21"/>
      <c r="D7" s="21"/>
      <c r="E7" s="22"/>
      <c r="F7" s="72" t="s">
        <v>0</v>
      </c>
      <c r="G7" s="72"/>
    </row>
    <row r="8" spans="1:11" s="86" customFormat="1" ht="12" customHeight="1">
      <c r="A8" s="89"/>
      <c r="B8" s="21"/>
      <c r="C8" s="21"/>
      <c r="D8" s="21"/>
      <c r="E8" s="22"/>
      <c r="F8" s="21"/>
      <c r="G8" s="23"/>
    </row>
    <row r="9" spans="1:11" s="86" customFormat="1" ht="15">
      <c r="A9" s="21" t="s">
        <v>105</v>
      </c>
      <c r="B9" s="21"/>
      <c r="C9" s="21"/>
      <c r="D9" s="21"/>
      <c r="E9" s="22"/>
      <c r="F9" s="72"/>
      <c r="G9" s="72"/>
    </row>
    <row r="10" spans="1:11" s="86" customFormat="1" ht="9.75" customHeight="1">
      <c r="A10" s="24"/>
      <c r="B10" s="21"/>
      <c r="C10" s="21"/>
      <c r="D10" s="21"/>
      <c r="E10" s="22"/>
      <c r="F10" s="21"/>
      <c r="G10" s="23"/>
    </row>
    <row r="11" spans="1:11" s="86" customFormat="1" ht="17.25" customHeight="1">
      <c r="A11" s="21" t="s">
        <v>106</v>
      </c>
      <c r="B11" s="21"/>
      <c r="C11" s="21"/>
      <c r="D11" s="21"/>
      <c r="E11" s="22"/>
      <c r="F11" s="72" t="s">
        <v>24</v>
      </c>
      <c r="G11" s="72"/>
    </row>
    <row r="12" spans="1:11" s="86" customFormat="1" ht="11.25" customHeight="1">
      <c r="A12" s="24"/>
      <c r="B12" s="25"/>
      <c r="C12" s="25"/>
      <c r="D12" s="25"/>
      <c r="E12" s="26"/>
      <c r="F12" s="25"/>
      <c r="G12" s="28"/>
    </row>
    <row r="13" spans="1:11" s="86" customFormat="1" ht="63" customHeight="1">
      <c r="A13" s="626" t="s">
        <v>23</v>
      </c>
      <c r="B13" s="627" t="s">
        <v>20</v>
      </c>
      <c r="C13" s="626" t="s">
        <v>140</v>
      </c>
      <c r="D13" s="628" t="s">
        <v>421</v>
      </c>
      <c r="E13" s="629" t="s">
        <v>228</v>
      </c>
      <c r="F13" s="626" t="s">
        <v>21</v>
      </c>
      <c r="G13" s="630" t="s">
        <v>22</v>
      </c>
    </row>
    <row r="14" spans="1:11" s="13" customFormat="1" ht="15" hidden="1" customHeight="1">
      <c r="A14" s="631">
        <v>1</v>
      </c>
      <c r="B14" s="632">
        <v>2</v>
      </c>
      <c r="C14" s="633"/>
      <c r="D14" s="634"/>
      <c r="E14" s="634">
        <v>3</v>
      </c>
      <c r="F14" s="633">
        <v>4</v>
      </c>
      <c r="G14" s="635">
        <v>5</v>
      </c>
    </row>
    <row r="15" spans="1:11" s="13" customFormat="1" ht="15" customHeight="1">
      <c r="A15" s="480" t="s">
        <v>4</v>
      </c>
      <c r="B15" s="636" t="s">
        <v>492</v>
      </c>
      <c r="C15" s="665" t="s">
        <v>173</v>
      </c>
      <c r="D15" s="637">
        <v>8</v>
      </c>
      <c r="E15" s="638" t="s">
        <v>493</v>
      </c>
      <c r="F15" s="995" t="s">
        <v>755</v>
      </c>
      <c r="G15" s="639">
        <f>(276.53+145.51*8)*1.1*1.43*0.2*0.3*0*0.4</f>
        <v>0</v>
      </c>
    </row>
    <row r="16" spans="1:11" s="13" customFormat="1" ht="15" customHeight="1">
      <c r="A16" s="575"/>
      <c r="B16" s="226" t="s">
        <v>494</v>
      </c>
      <c r="C16" s="665"/>
      <c r="D16" s="637"/>
      <c r="E16" s="94" t="s">
        <v>495</v>
      </c>
      <c r="F16" s="995" t="s">
        <v>848</v>
      </c>
      <c r="G16" s="640"/>
    </row>
    <row r="17" spans="1:7" s="13" customFormat="1" ht="15" customHeight="1">
      <c r="A17" s="575"/>
      <c r="B17" s="641" t="s">
        <v>754</v>
      </c>
      <c r="C17" s="665"/>
      <c r="D17" s="637"/>
      <c r="E17" s="94" t="s">
        <v>496</v>
      </c>
      <c r="F17" s="664"/>
      <c r="G17" s="640"/>
    </row>
    <row r="18" spans="1:7" s="13" customFormat="1" ht="15" customHeight="1">
      <c r="A18" s="575"/>
      <c r="B18" s="642" t="s">
        <v>497</v>
      </c>
      <c r="C18" s="665"/>
      <c r="D18" s="637"/>
      <c r="E18" s="94" t="s">
        <v>498</v>
      </c>
      <c r="F18" s="664"/>
      <c r="G18" s="640"/>
    </row>
    <row r="19" spans="1:7" s="13" customFormat="1" ht="15" customHeight="1">
      <c r="A19" s="575"/>
      <c r="B19" s="641"/>
      <c r="C19" s="665"/>
      <c r="D19" s="637"/>
      <c r="E19" s="94" t="s">
        <v>545</v>
      </c>
      <c r="F19" s="574"/>
      <c r="G19" s="640"/>
    </row>
    <row r="20" spans="1:7" s="13" customFormat="1" ht="15" customHeight="1">
      <c r="A20" s="575"/>
      <c r="B20" s="642"/>
      <c r="C20" s="665"/>
      <c r="D20" s="637"/>
      <c r="E20" s="94" t="s">
        <v>499</v>
      </c>
      <c r="F20" s="479"/>
      <c r="G20" s="643"/>
    </row>
    <row r="21" spans="1:7" s="13" customFormat="1" ht="15" customHeight="1">
      <c r="A21" s="94"/>
      <c r="B21" s="644"/>
      <c r="C21" s="665"/>
      <c r="D21" s="637"/>
      <c r="E21" s="94" t="s">
        <v>500</v>
      </c>
      <c r="F21" s="645"/>
      <c r="G21" s="646"/>
    </row>
    <row r="22" spans="1:7" s="13" customFormat="1" ht="15" customHeight="1">
      <c r="A22" s="94"/>
      <c r="B22" s="647"/>
      <c r="C22" s="665"/>
      <c r="D22" s="637"/>
      <c r="E22" s="94" t="s">
        <v>501</v>
      </c>
      <c r="F22" s="94"/>
      <c r="G22" s="646"/>
    </row>
    <row r="23" spans="1:7" s="4" customFormat="1" ht="14.25" customHeight="1">
      <c r="A23" s="94"/>
      <c r="B23" s="647"/>
      <c r="C23" s="648"/>
      <c r="D23" s="648"/>
      <c r="E23" s="94" t="s">
        <v>502</v>
      </c>
      <c r="F23" s="94"/>
      <c r="G23" s="646"/>
    </row>
    <row r="24" spans="1:7" s="4" customFormat="1" ht="14.25" customHeight="1">
      <c r="A24" s="94"/>
      <c r="B24" s="647"/>
      <c r="C24" s="648"/>
      <c r="D24" s="648"/>
      <c r="E24" s="94" t="s">
        <v>503</v>
      </c>
      <c r="F24" s="94"/>
      <c r="G24" s="646"/>
    </row>
    <row r="25" spans="1:7" s="4" customFormat="1" ht="22.5">
      <c r="A25" s="94"/>
      <c r="B25" s="647"/>
      <c r="C25" s="648"/>
      <c r="D25" s="648"/>
      <c r="E25" s="94" t="s">
        <v>504</v>
      </c>
      <c r="F25" s="94"/>
      <c r="G25" s="646"/>
    </row>
    <row r="26" spans="1:7" s="4" customFormat="1" ht="14.25" customHeight="1">
      <c r="A26" s="94"/>
      <c r="B26" s="647"/>
      <c r="C26" s="649"/>
      <c r="D26" s="649"/>
      <c r="E26" s="94" t="s">
        <v>505</v>
      </c>
      <c r="F26" s="94"/>
      <c r="G26" s="646"/>
    </row>
    <row r="27" spans="1:7" s="4" customFormat="1" ht="14.25" customHeight="1">
      <c r="A27" s="94"/>
      <c r="B27" s="647"/>
      <c r="C27" s="649"/>
      <c r="D27" s="649"/>
      <c r="E27" s="94" t="s">
        <v>506</v>
      </c>
      <c r="F27" s="94"/>
      <c r="G27" s="646"/>
    </row>
    <row r="28" spans="1:7" s="4" customFormat="1" ht="14.25" customHeight="1">
      <c r="A28" s="245"/>
      <c r="B28" s="647"/>
      <c r="C28" s="649"/>
      <c r="D28" s="649"/>
      <c r="E28" s="94" t="s">
        <v>507</v>
      </c>
      <c r="F28" s="94"/>
      <c r="G28" s="646"/>
    </row>
    <row r="29" spans="1:7" s="4" customFormat="1" ht="14.25" customHeight="1">
      <c r="A29" s="94"/>
      <c r="B29" s="647"/>
      <c r="C29" s="649"/>
      <c r="D29" s="649"/>
      <c r="E29" s="94" t="s">
        <v>508</v>
      </c>
      <c r="F29" s="94"/>
      <c r="G29" s="646"/>
    </row>
    <row r="30" spans="1:7" s="4" customFormat="1" ht="14.25" customHeight="1">
      <c r="A30" s="94"/>
      <c r="B30" s="647"/>
      <c r="C30" s="649"/>
      <c r="D30" s="649"/>
      <c r="E30" s="94" t="s">
        <v>847</v>
      </c>
      <c r="F30" s="94"/>
      <c r="G30" s="646"/>
    </row>
    <row r="31" spans="1:7" s="4" customFormat="1" ht="14.25" customHeight="1">
      <c r="A31" s="94"/>
      <c r="B31" s="975"/>
      <c r="C31" s="649"/>
      <c r="D31" s="649"/>
      <c r="E31" s="94" t="s">
        <v>509</v>
      </c>
      <c r="F31" s="94"/>
      <c r="G31" s="646"/>
    </row>
    <row r="32" spans="1:7" s="4" customFormat="1" ht="14.25" customHeight="1">
      <c r="A32" s="976"/>
      <c r="B32" s="979"/>
      <c r="C32" s="974"/>
      <c r="D32" s="973"/>
      <c r="E32" s="1249" t="s">
        <v>793</v>
      </c>
      <c r="F32" s="625"/>
      <c r="G32" s="646"/>
    </row>
    <row r="33" spans="1:28" s="4" customFormat="1" ht="14.25" customHeight="1">
      <c r="A33" s="977"/>
      <c r="B33" s="978"/>
      <c r="C33" s="974"/>
      <c r="D33" s="973"/>
      <c r="E33" s="1250"/>
      <c r="F33" s="625"/>
      <c r="G33" s="646"/>
    </row>
    <row r="34" spans="1:28" s="654" customFormat="1" ht="15" customHeight="1">
      <c r="A34" s="581"/>
      <c r="B34" s="650"/>
      <c r="C34" s="651"/>
      <c r="D34" s="652"/>
      <c r="E34" s="309"/>
      <c r="F34" s="653"/>
      <c r="G34" s="655">
        <f>G15</f>
        <v>0</v>
      </c>
    </row>
    <row r="35" spans="1:28" s="654" customFormat="1" ht="15" customHeight="1">
      <c r="A35" s="865"/>
      <c r="B35" s="866"/>
      <c r="C35" s="866"/>
      <c r="D35" s="866"/>
      <c r="E35" s="95"/>
      <c r="F35" s="586"/>
      <c r="G35" s="867"/>
    </row>
    <row r="36" spans="1:28" s="654" customFormat="1" ht="15" customHeight="1">
      <c r="A36" s="865"/>
      <c r="B36" s="866"/>
      <c r="C36" s="866"/>
      <c r="D36" s="866"/>
      <c r="E36" s="95"/>
      <c r="F36" s="586"/>
      <c r="G36" s="867"/>
    </row>
    <row r="37" spans="1:28" s="86" customFormat="1" ht="17.25" hidden="1" customHeight="1">
      <c r="A37" s="1082" t="s">
        <v>28</v>
      </c>
      <c r="B37" s="1082"/>
      <c r="C37" s="71"/>
      <c r="D37" s="71"/>
      <c r="E37" s="71"/>
      <c r="F37" s="71"/>
      <c r="G37" s="71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</row>
    <row r="38" spans="1:28" s="86" customFormat="1" ht="15.75">
      <c r="A38" s="71"/>
      <c r="B38" s="71"/>
      <c r="C38" s="71"/>
      <c r="D38" s="71"/>
      <c r="E38" s="71"/>
      <c r="F38" s="71"/>
      <c r="G38" s="71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</row>
    <row r="39" spans="1:28" s="86" customFormat="1" ht="15.75">
      <c r="A39" s="1176" t="s">
        <v>729</v>
      </c>
      <c r="B39" s="1176"/>
      <c r="C39" s="63"/>
      <c r="D39" s="63"/>
      <c r="E39" s="61"/>
      <c r="F39" s="59"/>
      <c r="G39" s="8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</row>
    <row r="40" spans="1:28" ht="15.75">
      <c r="A40" s="71"/>
      <c r="B40" s="63"/>
      <c r="C40" s="63"/>
      <c r="D40" s="63"/>
      <c r="E40" s="54"/>
      <c r="F40" s="84"/>
      <c r="G40" s="75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</row>
    <row r="41" spans="1:28" ht="15.75">
      <c r="A41" s="69" t="s">
        <v>730</v>
      </c>
      <c r="B41" s="68"/>
      <c r="C41" s="68"/>
      <c r="D41" s="68"/>
      <c r="E41" s="67"/>
      <c r="F41" s="621" t="s">
        <v>577</v>
      </c>
      <c r="G41" s="70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</row>
    <row r="42" spans="1:28" ht="15.75">
      <c r="A42" s="76"/>
      <c r="B42" s="76"/>
      <c r="C42" s="76"/>
      <c r="D42" s="76"/>
      <c r="E42" s="61"/>
      <c r="F42" s="59"/>
      <c r="G42" s="83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</row>
    <row r="43" spans="1:28" ht="15.75" hidden="1">
      <c r="A43" s="77" t="s">
        <v>29</v>
      </c>
      <c r="B43" s="1"/>
      <c r="C43" s="1"/>
      <c r="D43" s="1"/>
      <c r="E43" s="1"/>
      <c r="F43" s="78"/>
      <c r="G43" s="1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</row>
    <row r="44" spans="1:28" ht="15.75" hidden="1">
      <c r="A44" s="77"/>
      <c r="B44" s="1"/>
      <c r="C44" s="1"/>
      <c r="D44" s="1"/>
      <c r="E44" s="1"/>
      <c r="F44" s="78"/>
      <c r="G44" s="1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</row>
    <row r="45" spans="1:28" ht="15.75" hidden="1">
      <c r="A45" s="720" t="s">
        <v>575</v>
      </c>
      <c r="B45" s="721"/>
      <c r="C45" s="721"/>
      <c r="D45" s="721"/>
      <c r="E45" s="722"/>
      <c r="F45" s="723"/>
      <c r="G45" s="707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</row>
    <row r="46" spans="1:28" ht="15.75" hidden="1">
      <c r="A46" s="720"/>
      <c r="B46" s="721"/>
      <c r="C46" s="721"/>
      <c r="D46" s="721"/>
      <c r="E46" s="722"/>
      <c r="F46" s="724"/>
      <c r="G46" s="701"/>
    </row>
    <row r="47" spans="1:28" ht="15.75" hidden="1">
      <c r="A47" s="725" t="s">
        <v>600</v>
      </c>
      <c r="B47" s="725"/>
      <c r="C47" s="725"/>
      <c r="D47" s="725"/>
      <c r="E47" s="725"/>
      <c r="F47" s="726" t="s">
        <v>573</v>
      </c>
      <c r="G47" s="710"/>
    </row>
    <row r="48" spans="1:28" ht="15.75" hidden="1">
      <c r="A48" s="710"/>
      <c r="B48" s="710"/>
      <c r="C48" s="710"/>
      <c r="D48" s="710"/>
      <c r="E48" s="710"/>
      <c r="F48" s="708"/>
      <c r="G48" s="712"/>
    </row>
    <row r="49" spans="1:7" ht="15.75" hidden="1">
      <c r="A49" s="727" t="s">
        <v>576</v>
      </c>
      <c r="B49" s="728"/>
      <c r="C49" s="728"/>
      <c r="D49" s="68"/>
      <c r="E49" s="68"/>
      <c r="F49" s="729" t="s">
        <v>577</v>
      </c>
      <c r="G49" s="729"/>
    </row>
  </sheetData>
  <mergeCells count="5">
    <mergeCell ref="A39:B39"/>
    <mergeCell ref="F1:G1"/>
    <mergeCell ref="F6:G6"/>
    <mergeCell ref="A37:B37"/>
    <mergeCell ref="E32:E33"/>
  </mergeCells>
  <pageMargins left="0.74803149606299213" right="0.35433070866141736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7" workbookViewId="0">
      <selection activeCell="F17" sqref="F17"/>
    </sheetView>
  </sheetViews>
  <sheetFormatPr defaultColWidth="11.5703125" defaultRowHeight="12.75"/>
  <cols>
    <col min="1" max="1" width="5.140625" style="1053" customWidth="1"/>
    <col min="2" max="2" width="24" style="1053" customWidth="1"/>
    <col min="3" max="3" width="42" style="1053" customWidth="1"/>
    <col min="4" max="4" width="20.7109375" style="1053" customWidth="1"/>
    <col min="5" max="5" width="11.28515625" style="1053" customWidth="1"/>
    <col min="6" max="256" width="11.5703125" style="1032"/>
    <col min="257" max="257" width="5.140625" style="1032" customWidth="1"/>
    <col min="258" max="258" width="20.5703125" style="1032" customWidth="1"/>
    <col min="259" max="259" width="46.7109375" style="1032" customWidth="1"/>
    <col min="260" max="260" width="20.7109375" style="1032" customWidth="1"/>
    <col min="261" max="261" width="11.7109375" style="1032" customWidth="1"/>
    <col min="262" max="512" width="11.5703125" style="1032"/>
    <col min="513" max="513" width="5.140625" style="1032" customWidth="1"/>
    <col min="514" max="514" width="20.5703125" style="1032" customWidth="1"/>
    <col min="515" max="515" width="46.7109375" style="1032" customWidth="1"/>
    <col min="516" max="516" width="20.7109375" style="1032" customWidth="1"/>
    <col min="517" max="517" width="11.7109375" style="1032" customWidth="1"/>
    <col min="518" max="768" width="11.5703125" style="1032"/>
    <col min="769" max="769" width="5.140625" style="1032" customWidth="1"/>
    <col min="770" max="770" width="20.5703125" style="1032" customWidth="1"/>
    <col min="771" max="771" width="46.7109375" style="1032" customWidth="1"/>
    <col min="772" max="772" width="20.7109375" style="1032" customWidth="1"/>
    <col min="773" max="773" width="11.7109375" style="1032" customWidth="1"/>
    <col min="774" max="1024" width="11.5703125" style="1032"/>
    <col min="1025" max="1025" width="5.140625" style="1032" customWidth="1"/>
    <col min="1026" max="1026" width="20.5703125" style="1032" customWidth="1"/>
    <col min="1027" max="1027" width="46.7109375" style="1032" customWidth="1"/>
    <col min="1028" max="1028" width="20.7109375" style="1032" customWidth="1"/>
    <col min="1029" max="1029" width="11.7109375" style="1032" customWidth="1"/>
    <col min="1030" max="1280" width="11.5703125" style="1032"/>
    <col min="1281" max="1281" width="5.140625" style="1032" customWidth="1"/>
    <col min="1282" max="1282" width="20.5703125" style="1032" customWidth="1"/>
    <col min="1283" max="1283" width="46.7109375" style="1032" customWidth="1"/>
    <col min="1284" max="1284" width="20.7109375" style="1032" customWidth="1"/>
    <col min="1285" max="1285" width="11.7109375" style="1032" customWidth="1"/>
    <col min="1286" max="1536" width="11.5703125" style="1032"/>
    <col min="1537" max="1537" width="5.140625" style="1032" customWidth="1"/>
    <col min="1538" max="1538" width="20.5703125" style="1032" customWidth="1"/>
    <col min="1539" max="1539" width="46.7109375" style="1032" customWidth="1"/>
    <col min="1540" max="1540" width="20.7109375" style="1032" customWidth="1"/>
    <col min="1541" max="1541" width="11.7109375" style="1032" customWidth="1"/>
    <col min="1542" max="1792" width="11.5703125" style="1032"/>
    <col min="1793" max="1793" width="5.140625" style="1032" customWidth="1"/>
    <col min="1794" max="1794" width="20.5703125" style="1032" customWidth="1"/>
    <col min="1795" max="1795" width="46.7109375" style="1032" customWidth="1"/>
    <col min="1796" max="1796" width="20.7109375" style="1032" customWidth="1"/>
    <col min="1797" max="1797" width="11.7109375" style="1032" customWidth="1"/>
    <col min="1798" max="2048" width="11.5703125" style="1032"/>
    <col min="2049" max="2049" width="5.140625" style="1032" customWidth="1"/>
    <col min="2050" max="2050" width="20.5703125" style="1032" customWidth="1"/>
    <col min="2051" max="2051" width="46.7109375" style="1032" customWidth="1"/>
    <col min="2052" max="2052" width="20.7109375" style="1032" customWidth="1"/>
    <col min="2053" max="2053" width="11.7109375" style="1032" customWidth="1"/>
    <col min="2054" max="2304" width="11.5703125" style="1032"/>
    <col min="2305" max="2305" width="5.140625" style="1032" customWidth="1"/>
    <col min="2306" max="2306" width="20.5703125" style="1032" customWidth="1"/>
    <col min="2307" max="2307" width="46.7109375" style="1032" customWidth="1"/>
    <col min="2308" max="2308" width="20.7109375" style="1032" customWidth="1"/>
    <col min="2309" max="2309" width="11.7109375" style="1032" customWidth="1"/>
    <col min="2310" max="2560" width="11.5703125" style="1032"/>
    <col min="2561" max="2561" width="5.140625" style="1032" customWidth="1"/>
    <col min="2562" max="2562" width="20.5703125" style="1032" customWidth="1"/>
    <col min="2563" max="2563" width="46.7109375" style="1032" customWidth="1"/>
    <col min="2564" max="2564" width="20.7109375" style="1032" customWidth="1"/>
    <col min="2565" max="2565" width="11.7109375" style="1032" customWidth="1"/>
    <col min="2566" max="2816" width="11.5703125" style="1032"/>
    <col min="2817" max="2817" width="5.140625" style="1032" customWidth="1"/>
    <col min="2818" max="2818" width="20.5703125" style="1032" customWidth="1"/>
    <col min="2819" max="2819" width="46.7109375" style="1032" customWidth="1"/>
    <col min="2820" max="2820" width="20.7109375" style="1032" customWidth="1"/>
    <col min="2821" max="2821" width="11.7109375" style="1032" customWidth="1"/>
    <col min="2822" max="3072" width="11.5703125" style="1032"/>
    <col min="3073" max="3073" width="5.140625" style="1032" customWidth="1"/>
    <col min="3074" max="3074" width="20.5703125" style="1032" customWidth="1"/>
    <col min="3075" max="3075" width="46.7109375" style="1032" customWidth="1"/>
    <col min="3076" max="3076" width="20.7109375" style="1032" customWidth="1"/>
    <col min="3077" max="3077" width="11.7109375" style="1032" customWidth="1"/>
    <col min="3078" max="3328" width="11.5703125" style="1032"/>
    <col min="3329" max="3329" width="5.140625" style="1032" customWidth="1"/>
    <col min="3330" max="3330" width="20.5703125" style="1032" customWidth="1"/>
    <col min="3331" max="3331" width="46.7109375" style="1032" customWidth="1"/>
    <col min="3332" max="3332" width="20.7109375" style="1032" customWidth="1"/>
    <col min="3333" max="3333" width="11.7109375" style="1032" customWidth="1"/>
    <col min="3334" max="3584" width="11.5703125" style="1032"/>
    <col min="3585" max="3585" width="5.140625" style="1032" customWidth="1"/>
    <col min="3586" max="3586" width="20.5703125" style="1032" customWidth="1"/>
    <col min="3587" max="3587" width="46.7109375" style="1032" customWidth="1"/>
    <col min="3588" max="3588" width="20.7109375" style="1032" customWidth="1"/>
    <col min="3589" max="3589" width="11.7109375" style="1032" customWidth="1"/>
    <col min="3590" max="3840" width="11.5703125" style="1032"/>
    <col min="3841" max="3841" width="5.140625" style="1032" customWidth="1"/>
    <col min="3842" max="3842" width="20.5703125" style="1032" customWidth="1"/>
    <col min="3843" max="3843" width="46.7109375" style="1032" customWidth="1"/>
    <col min="3844" max="3844" width="20.7109375" style="1032" customWidth="1"/>
    <col min="3845" max="3845" width="11.7109375" style="1032" customWidth="1"/>
    <col min="3846" max="4096" width="11.5703125" style="1032"/>
    <col min="4097" max="4097" width="5.140625" style="1032" customWidth="1"/>
    <col min="4098" max="4098" width="20.5703125" style="1032" customWidth="1"/>
    <col min="4099" max="4099" width="46.7109375" style="1032" customWidth="1"/>
    <col min="4100" max="4100" width="20.7109375" style="1032" customWidth="1"/>
    <col min="4101" max="4101" width="11.7109375" style="1032" customWidth="1"/>
    <col min="4102" max="4352" width="11.5703125" style="1032"/>
    <col min="4353" max="4353" width="5.140625" style="1032" customWidth="1"/>
    <col min="4354" max="4354" width="20.5703125" style="1032" customWidth="1"/>
    <col min="4355" max="4355" width="46.7109375" style="1032" customWidth="1"/>
    <col min="4356" max="4356" width="20.7109375" style="1032" customWidth="1"/>
    <col min="4357" max="4357" width="11.7109375" style="1032" customWidth="1"/>
    <col min="4358" max="4608" width="11.5703125" style="1032"/>
    <col min="4609" max="4609" width="5.140625" style="1032" customWidth="1"/>
    <col min="4610" max="4610" width="20.5703125" style="1032" customWidth="1"/>
    <col min="4611" max="4611" width="46.7109375" style="1032" customWidth="1"/>
    <col min="4612" max="4612" width="20.7109375" style="1032" customWidth="1"/>
    <col min="4613" max="4613" width="11.7109375" style="1032" customWidth="1"/>
    <col min="4614" max="4864" width="11.5703125" style="1032"/>
    <col min="4865" max="4865" width="5.140625" style="1032" customWidth="1"/>
    <col min="4866" max="4866" width="20.5703125" style="1032" customWidth="1"/>
    <col min="4867" max="4867" width="46.7109375" style="1032" customWidth="1"/>
    <col min="4868" max="4868" width="20.7109375" style="1032" customWidth="1"/>
    <col min="4869" max="4869" width="11.7109375" style="1032" customWidth="1"/>
    <col min="4870" max="5120" width="11.5703125" style="1032"/>
    <col min="5121" max="5121" width="5.140625" style="1032" customWidth="1"/>
    <col min="5122" max="5122" width="20.5703125" style="1032" customWidth="1"/>
    <col min="5123" max="5123" width="46.7109375" style="1032" customWidth="1"/>
    <col min="5124" max="5124" width="20.7109375" style="1032" customWidth="1"/>
    <col min="5125" max="5125" width="11.7109375" style="1032" customWidth="1"/>
    <col min="5126" max="5376" width="11.5703125" style="1032"/>
    <col min="5377" max="5377" width="5.140625" style="1032" customWidth="1"/>
    <col min="5378" max="5378" width="20.5703125" style="1032" customWidth="1"/>
    <col min="5379" max="5379" width="46.7109375" style="1032" customWidth="1"/>
    <col min="5380" max="5380" width="20.7109375" style="1032" customWidth="1"/>
    <col min="5381" max="5381" width="11.7109375" style="1032" customWidth="1"/>
    <col min="5382" max="5632" width="11.5703125" style="1032"/>
    <col min="5633" max="5633" width="5.140625" style="1032" customWidth="1"/>
    <col min="5634" max="5634" width="20.5703125" style="1032" customWidth="1"/>
    <col min="5635" max="5635" width="46.7109375" style="1032" customWidth="1"/>
    <col min="5636" max="5636" width="20.7109375" style="1032" customWidth="1"/>
    <col min="5637" max="5637" width="11.7109375" style="1032" customWidth="1"/>
    <col min="5638" max="5888" width="11.5703125" style="1032"/>
    <col min="5889" max="5889" width="5.140625" style="1032" customWidth="1"/>
    <col min="5890" max="5890" width="20.5703125" style="1032" customWidth="1"/>
    <col min="5891" max="5891" width="46.7109375" style="1032" customWidth="1"/>
    <col min="5892" max="5892" width="20.7109375" style="1032" customWidth="1"/>
    <col min="5893" max="5893" width="11.7109375" style="1032" customWidth="1"/>
    <col min="5894" max="6144" width="11.5703125" style="1032"/>
    <col min="6145" max="6145" width="5.140625" style="1032" customWidth="1"/>
    <col min="6146" max="6146" width="20.5703125" style="1032" customWidth="1"/>
    <col min="6147" max="6147" width="46.7109375" style="1032" customWidth="1"/>
    <col min="6148" max="6148" width="20.7109375" style="1032" customWidth="1"/>
    <col min="6149" max="6149" width="11.7109375" style="1032" customWidth="1"/>
    <col min="6150" max="6400" width="11.5703125" style="1032"/>
    <col min="6401" max="6401" width="5.140625" style="1032" customWidth="1"/>
    <col min="6402" max="6402" width="20.5703125" style="1032" customWidth="1"/>
    <col min="6403" max="6403" width="46.7109375" style="1032" customWidth="1"/>
    <col min="6404" max="6404" width="20.7109375" style="1032" customWidth="1"/>
    <col min="6405" max="6405" width="11.7109375" style="1032" customWidth="1"/>
    <col min="6406" max="6656" width="11.5703125" style="1032"/>
    <col min="6657" max="6657" width="5.140625" style="1032" customWidth="1"/>
    <col min="6658" max="6658" width="20.5703125" style="1032" customWidth="1"/>
    <col min="6659" max="6659" width="46.7109375" style="1032" customWidth="1"/>
    <col min="6660" max="6660" width="20.7109375" style="1032" customWidth="1"/>
    <col min="6661" max="6661" width="11.7109375" style="1032" customWidth="1"/>
    <col min="6662" max="6912" width="11.5703125" style="1032"/>
    <col min="6913" max="6913" width="5.140625" style="1032" customWidth="1"/>
    <col min="6914" max="6914" width="20.5703125" style="1032" customWidth="1"/>
    <col min="6915" max="6915" width="46.7109375" style="1032" customWidth="1"/>
    <col min="6916" max="6916" width="20.7109375" style="1032" customWidth="1"/>
    <col min="6917" max="6917" width="11.7109375" style="1032" customWidth="1"/>
    <col min="6918" max="7168" width="11.5703125" style="1032"/>
    <col min="7169" max="7169" width="5.140625" style="1032" customWidth="1"/>
    <col min="7170" max="7170" width="20.5703125" style="1032" customWidth="1"/>
    <col min="7171" max="7171" width="46.7109375" style="1032" customWidth="1"/>
    <col min="7172" max="7172" width="20.7109375" style="1032" customWidth="1"/>
    <col min="7173" max="7173" width="11.7109375" style="1032" customWidth="1"/>
    <col min="7174" max="7424" width="11.5703125" style="1032"/>
    <col min="7425" max="7425" width="5.140625" style="1032" customWidth="1"/>
    <col min="7426" max="7426" width="20.5703125" style="1032" customWidth="1"/>
    <col min="7427" max="7427" width="46.7109375" style="1032" customWidth="1"/>
    <col min="7428" max="7428" width="20.7109375" style="1032" customWidth="1"/>
    <col min="7429" max="7429" width="11.7109375" style="1032" customWidth="1"/>
    <col min="7430" max="7680" width="11.5703125" style="1032"/>
    <col min="7681" max="7681" width="5.140625" style="1032" customWidth="1"/>
    <col min="7682" max="7682" width="20.5703125" style="1032" customWidth="1"/>
    <col min="7683" max="7683" width="46.7109375" style="1032" customWidth="1"/>
    <col min="7684" max="7684" width="20.7109375" style="1032" customWidth="1"/>
    <col min="7685" max="7685" width="11.7109375" style="1032" customWidth="1"/>
    <col min="7686" max="7936" width="11.5703125" style="1032"/>
    <col min="7937" max="7937" width="5.140625" style="1032" customWidth="1"/>
    <col min="7938" max="7938" width="20.5703125" style="1032" customWidth="1"/>
    <col min="7939" max="7939" width="46.7109375" style="1032" customWidth="1"/>
    <col min="7940" max="7940" width="20.7109375" style="1032" customWidth="1"/>
    <col min="7941" max="7941" width="11.7109375" style="1032" customWidth="1"/>
    <col min="7942" max="8192" width="11.5703125" style="1032"/>
    <col min="8193" max="8193" width="5.140625" style="1032" customWidth="1"/>
    <col min="8194" max="8194" width="20.5703125" style="1032" customWidth="1"/>
    <col min="8195" max="8195" width="46.7109375" style="1032" customWidth="1"/>
    <col min="8196" max="8196" width="20.7109375" style="1032" customWidth="1"/>
    <col min="8197" max="8197" width="11.7109375" style="1032" customWidth="1"/>
    <col min="8198" max="8448" width="11.5703125" style="1032"/>
    <col min="8449" max="8449" width="5.140625" style="1032" customWidth="1"/>
    <col min="8450" max="8450" width="20.5703125" style="1032" customWidth="1"/>
    <col min="8451" max="8451" width="46.7109375" style="1032" customWidth="1"/>
    <col min="8452" max="8452" width="20.7109375" style="1032" customWidth="1"/>
    <col min="8453" max="8453" width="11.7109375" style="1032" customWidth="1"/>
    <col min="8454" max="8704" width="11.5703125" style="1032"/>
    <col min="8705" max="8705" width="5.140625" style="1032" customWidth="1"/>
    <col min="8706" max="8706" width="20.5703125" style="1032" customWidth="1"/>
    <col min="8707" max="8707" width="46.7109375" style="1032" customWidth="1"/>
    <col min="8708" max="8708" width="20.7109375" style="1032" customWidth="1"/>
    <col min="8709" max="8709" width="11.7109375" style="1032" customWidth="1"/>
    <col min="8710" max="8960" width="11.5703125" style="1032"/>
    <col min="8961" max="8961" width="5.140625" style="1032" customWidth="1"/>
    <col min="8962" max="8962" width="20.5703125" style="1032" customWidth="1"/>
    <col min="8963" max="8963" width="46.7109375" style="1032" customWidth="1"/>
    <col min="8964" max="8964" width="20.7109375" style="1032" customWidth="1"/>
    <col min="8965" max="8965" width="11.7109375" style="1032" customWidth="1"/>
    <col min="8966" max="9216" width="11.5703125" style="1032"/>
    <col min="9217" max="9217" width="5.140625" style="1032" customWidth="1"/>
    <col min="9218" max="9218" width="20.5703125" style="1032" customWidth="1"/>
    <col min="9219" max="9219" width="46.7109375" style="1032" customWidth="1"/>
    <col min="9220" max="9220" width="20.7109375" style="1032" customWidth="1"/>
    <col min="9221" max="9221" width="11.7109375" style="1032" customWidth="1"/>
    <col min="9222" max="9472" width="11.5703125" style="1032"/>
    <col min="9473" max="9473" width="5.140625" style="1032" customWidth="1"/>
    <col min="9474" max="9474" width="20.5703125" style="1032" customWidth="1"/>
    <col min="9475" max="9475" width="46.7109375" style="1032" customWidth="1"/>
    <col min="9476" max="9476" width="20.7109375" style="1032" customWidth="1"/>
    <col min="9477" max="9477" width="11.7109375" style="1032" customWidth="1"/>
    <col min="9478" max="9728" width="11.5703125" style="1032"/>
    <col min="9729" max="9729" width="5.140625" style="1032" customWidth="1"/>
    <col min="9730" max="9730" width="20.5703125" style="1032" customWidth="1"/>
    <col min="9731" max="9731" width="46.7109375" style="1032" customWidth="1"/>
    <col min="9732" max="9732" width="20.7109375" style="1032" customWidth="1"/>
    <col min="9733" max="9733" width="11.7109375" style="1032" customWidth="1"/>
    <col min="9734" max="9984" width="11.5703125" style="1032"/>
    <col min="9985" max="9985" width="5.140625" style="1032" customWidth="1"/>
    <col min="9986" max="9986" width="20.5703125" style="1032" customWidth="1"/>
    <col min="9987" max="9987" width="46.7109375" style="1032" customWidth="1"/>
    <col min="9988" max="9988" width="20.7109375" style="1032" customWidth="1"/>
    <col min="9989" max="9989" width="11.7109375" style="1032" customWidth="1"/>
    <col min="9990" max="10240" width="11.5703125" style="1032"/>
    <col min="10241" max="10241" width="5.140625" style="1032" customWidth="1"/>
    <col min="10242" max="10242" width="20.5703125" style="1032" customWidth="1"/>
    <col min="10243" max="10243" width="46.7109375" style="1032" customWidth="1"/>
    <col min="10244" max="10244" width="20.7109375" style="1032" customWidth="1"/>
    <col min="10245" max="10245" width="11.7109375" style="1032" customWidth="1"/>
    <col min="10246" max="10496" width="11.5703125" style="1032"/>
    <col min="10497" max="10497" width="5.140625" style="1032" customWidth="1"/>
    <col min="10498" max="10498" width="20.5703125" style="1032" customWidth="1"/>
    <col min="10499" max="10499" width="46.7109375" style="1032" customWidth="1"/>
    <col min="10500" max="10500" width="20.7109375" style="1032" customWidth="1"/>
    <col min="10501" max="10501" width="11.7109375" style="1032" customWidth="1"/>
    <col min="10502" max="10752" width="11.5703125" style="1032"/>
    <col min="10753" max="10753" width="5.140625" style="1032" customWidth="1"/>
    <col min="10754" max="10754" width="20.5703125" style="1032" customWidth="1"/>
    <col min="10755" max="10755" width="46.7109375" style="1032" customWidth="1"/>
    <col min="10756" max="10756" width="20.7109375" style="1032" customWidth="1"/>
    <col min="10757" max="10757" width="11.7109375" style="1032" customWidth="1"/>
    <col min="10758" max="11008" width="11.5703125" style="1032"/>
    <col min="11009" max="11009" width="5.140625" style="1032" customWidth="1"/>
    <col min="11010" max="11010" width="20.5703125" style="1032" customWidth="1"/>
    <col min="11011" max="11011" width="46.7109375" style="1032" customWidth="1"/>
    <col min="11012" max="11012" width="20.7109375" style="1032" customWidth="1"/>
    <col min="11013" max="11013" width="11.7109375" style="1032" customWidth="1"/>
    <col min="11014" max="11264" width="11.5703125" style="1032"/>
    <col min="11265" max="11265" width="5.140625" style="1032" customWidth="1"/>
    <col min="11266" max="11266" width="20.5703125" style="1032" customWidth="1"/>
    <col min="11267" max="11267" width="46.7109375" style="1032" customWidth="1"/>
    <col min="11268" max="11268" width="20.7109375" style="1032" customWidth="1"/>
    <col min="11269" max="11269" width="11.7109375" style="1032" customWidth="1"/>
    <col min="11270" max="11520" width="11.5703125" style="1032"/>
    <col min="11521" max="11521" width="5.140625" style="1032" customWidth="1"/>
    <col min="11522" max="11522" width="20.5703125" style="1032" customWidth="1"/>
    <col min="11523" max="11523" width="46.7109375" style="1032" customWidth="1"/>
    <col min="11524" max="11524" width="20.7109375" style="1032" customWidth="1"/>
    <col min="11525" max="11525" width="11.7109375" style="1032" customWidth="1"/>
    <col min="11526" max="11776" width="11.5703125" style="1032"/>
    <col min="11777" max="11777" width="5.140625" style="1032" customWidth="1"/>
    <col min="11778" max="11778" width="20.5703125" style="1032" customWidth="1"/>
    <col min="11779" max="11779" width="46.7109375" style="1032" customWidth="1"/>
    <col min="11780" max="11780" width="20.7109375" style="1032" customWidth="1"/>
    <col min="11781" max="11781" width="11.7109375" style="1032" customWidth="1"/>
    <col min="11782" max="12032" width="11.5703125" style="1032"/>
    <col min="12033" max="12033" width="5.140625" style="1032" customWidth="1"/>
    <col min="12034" max="12034" width="20.5703125" style="1032" customWidth="1"/>
    <col min="12035" max="12035" width="46.7109375" style="1032" customWidth="1"/>
    <col min="12036" max="12036" width="20.7109375" style="1032" customWidth="1"/>
    <col min="12037" max="12037" width="11.7109375" style="1032" customWidth="1"/>
    <col min="12038" max="12288" width="11.5703125" style="1032"/>
    <col min="12289" max="12289" width="5.140625" style="1032" customWidth="1"/>
    <col min="12290" max="12290" width="20.5703125" style="1032" customWidth="1"/>
    <col min="12291" max="12291" width="46.7109375" style="1032" customWidth="1"/>
    <col min="12292" max="12292" width="20.7109375" style="1032" customWidth="1"/>
    <col min="12293" max="12293" width="11.7109375" style="1032" customWidth="1"/>
    <col min="12294" max="12544" width="11.5703125" style="1032"/>
    <col min="12545" max="12545" width="5.140625" style="1032" customWidth="1"/>
    <col min="12546" max="12546" width="20.5703125" style="1032" customWidth="1"/>
    <col min="12547" max="12547" width="46.7109375" style="1032" customWidth="1"/>
    <col min="12548" max="12548" width="20.7109375" style="1032" customWidth="1"/>
    <col min="12549" max="12549" width="11.7109375" style="1032" customWidth="1"/>
    <col min="12550" max="12800" width="11.5703125" style="1032"/>
    <col min="12801" max="12801" width="5.140625" style="1032" customWidth="1"/>
    <col min="12802" max="12802" width="20.5703125" style="1032" customWidth="1"/>
    <col min="12803" max="12803" width="46.7109375" style="1032" customWidth="1"/>
    <col min="12804" max="12804" width="20.7109375" style="1032" customWidth="1"/>
    <col min="12805" max="12805" width="11.7109375" style="1032" customWidth="1"/>
    <col min="12806" max="13056" width="11.5703125" style="1032"/>
    <col min="13057" max="13057" width="5.140625" style="1032" customWidth="1"/>
    <col min="13058" max="13058" width="20.5703125" style="1032" customWidth="1"/>
    <col min="13059" max="13059" width="46.7109375" style="1032" customWidth="1"/>
    <col min="13060" max="13060" width="20.7109375" style="1032" customWidth="1"/>
    <col min="13061" max="13061" width="11.7109375" style="1032" customWidth="1"/>
    <col min="13062" max="13312" width="11.5703125" style="1032"/>
    <col min="13313" max="13313" width="5.140625" style="1032" customWidth="1"/>
    <col min="13314" max="13314" width="20.5703125" style="1032" customWidth="1"/>
    <col min="13315" max="13315" width="46.7109375" style="1032" customWidth="1"/>
    <col min="13316" max="13316" width="20.7109375" style="1032" customWidth="1"/>
    <col min="13317" max="13317" width="11.7109375" style="1032" customWidth="1"/>
    <col min="13318" max="13568" width="11.5703125" style="1032"/>
    <col min="13569" max="13569" width="5.140625" style="1032" customWidth="1"/>
    <col min="13570" max="13570" width="20.5703125" style="1032" customWidth="1"/>
    <col min="13571" max="13571" width="46.7109375" style="1032" customWidth="1"/>
    <col min="13572" max="13572" width="20.7109375" style="1032" customWidth="1"/>
    <col min="13573" max="13573" width="11.7109375" style="1032" customWidth="1"/>
    <col min="13574" max="13824" width="11.5703125" style="1032"/>
    <col min="13825" max="13825" width="5.140625" style="1032" customWidth="1"/>
    <col min="13826" max="13826" width="20.5703125" style="1032" customWidth="1"/>
    <col min="13827" max="13827" width="46.7109375" style="1032" customWidth="1"/>
    <col min="13828" max="13828" width="20.7109375" style="1032" customWidth="1"/>
    <col min="13829" max="13829" width="11.7109375" style="1032" customWidth="1"/>
    <col min="13830" max="14080" width="11.5703125" style="1032"/>
    <col min="14081" max="14081" width="5.140625" style="1032" customWidth="1"/>
    <col min="14082" max="14082" width="20.5703125" style="1032" customWidth="1"/>
    <col min="14083" max="14083" width="46.7109375" style="1032" customWidth="1"/>
    <col min="14084" max="14084" width="20.7109375" style="1032" customWidth="1"/>
    <col min="14085" max="14085" width="11.7109375" style="1032" customWidth="1"/>
    <col min="14086" max="14336" width="11.5703125" style="1032"/>
    <col min="14337" max="14337" width="5.140625" style="1032" customWidth="1"/>
    <col min="14338" max="14338" width="20.5703125" style="1032" customWidth="1"/>
    <col min="14339" max="14339" width="46.7109375" style="1032" customWidth="1"/>
    <col min="14340" max="14340" width="20.7109375" style="1032" customWidth="1"/>
    <col min="14341" max="14341" width="11.7109375" style="1032" customWidth="1"/>
    <col min="14342" max="14592" width="11.5703125" style="1032"/>
    <col min="14593" max="14593" width="5.140625" style="1032" customWidth="1"/>
    <col min="14594" max="14594" width="20.5703125" style="1032" customWidth="1"/>
    <col min="14595" max="14595" width="46.7109375" style="1032" customWidth="1"/>
    <col min="14596" max="14596" width="20.7109375" style="1032" customWidth="1"/>
    <col min="14597" max="14597" width="11.7109375" style="1032" customWidth="1"/>
    <col min="14598" max="14848" width="11.5703125" style="1032"/>
    <col min="14849" max="14849" width="5.140625" style="1032" customWidth="1"/>
    <col min="14850" max="14850" width="20.5703125" style="1032" customWidth="1"/>
    <col min="14851" max="14851" width="46.7109375" style="1032" customWidth="1"/>
    <col min="14852" max="14852" width="20.7109375" style="1032" customWidth="1"/>
    <col min="14853" max="14853" width="11.7109375" style="1032" customWidth="1"/>
    <col min="14854" max="15104" width="11.5703125" style="1032"/>
    <col min="15105" max="15105" width="5.140625" style="1032" customWidth="1"/>
    <col min="15106" max="15106" width="20.5703125" style="1032" customWidth="1"/>
    <col min="15107" max="15107" width="46.7109375" style="1032" customWidth="1"/>
    <col min="15108" max="15108" width="20.7109375" style="1032" customWidth="1"/>
    <col min="15109" max="15109" width="11.7109375" style="1032" customWidth="1"/>
    <col min="15110" max="15360" width="11.5703125" style="1032"/>
    <col min="15361" max="15361" width="5.140625" style="1032" customWidth="1"/>
    <col min="15362" max="15362" width="20.5703125" style="1032" customWidth="1"/>
    <col min="15363" max="15363" width="46.7109375" style="1032" customWidth="1"/>
    <col min="15364" max="15364" width="20.7109375" style="1032" customWidth="1"/>
    <col min="15365" max="15365" width="11.7109375" style="1032" customWidth="1"/>
    <col min="15366" max="15616" width="11.5703125" style="1032"/>
    <col min="15617" max="15617" width="5.140625" style="1032" customWidth="1"/>
    <col min="15618" max="15618" width="20.5703125" style="1032" customWidth="1"/>
    <col min="15619" max="15619" width="46.7109375" style="1032" customWidth="1"/>
    <col min="15620" max="15620" width="20.7109375" style="1032" customWidth="1"/>
    <col min="15621" max="15621" width="11.7109375" style="1032" customWidth="1"/>
    <col min="15622" max="15872" width="11.5703125" style="1032"/>
    <col min="15873" max="15873" width="5.140625" style="1032" customWidth="1"/>
    <col min="15874" max="15874" width="20.5703125" style="1032" customWidth="1"/>
    <col min="15875" max="15875" width="46.7109375" style="1032" customWidth="1"/>
    <col min="15876" max="15876" width="20.7109375" style="1032" customWidth="1"/>
    <col min="15877" max="15877" width="11.7109375" style="1032" customWidth="1"/>
    <col min="15878" max="16128" width="11.5703125" style="1032"/>
    <col min="16129" max="16129" width="5.140625" style="1032" customWidth="1"/>
    <col min="16130" max="16130" width="20.5703125" style="1032" customWidth="1"/>
    <col min="16131" max="16131" width="46.7109375" style="1032" customWidth="1"/>
    <col min="16132" max="16132" width="20.7109375" style="1032" customWidth="1"/>
    <col min="16133" max="16133" width="11.7109375" style="1032" customWidth="1"/>
    <col min="16134" max="16384" width="11.5703125" style="1032"/>
  </cols>
  <sheetData>
    <row r="1" spans="1:5" ht="12.75" customHeight="1">
      <c r="A1" s="1031"/>
      <c r="B1" s="1031"/>
      <c r="C1" s="1253"/>
      <c r="D1" s="1253"/>
      <c r="E1" s="1253"/>
    </row>
    <row r="2" spans="1:5" s="1034" customFormat="1">
      <c r="A2" s="1033"/>
      <c r="C2" s="1035"/>
      <c r="D2" s="1035"/>
      <c r="E2" s="1035"/>
    </row>
    <row r="3" spans="1:5" s="1034" customFormat="1">
      <c r="A3" s="1033"/>
      <c r="C3" s="1035"/>
      <c r="D3" s="1035"/>
      <c r="E3" s="1035"/>
    </row>
    <row r="4" spans="1:5" ht="15.75">
      <c r="A4" s="1254" t="s">
        <v>734</v>
      </c>
      <c r="B4" s="1254"/>
      <c r="C4" s="1254"/>
      <c r="D4" s="1254"/>
      <c r="E4" s="1254"/>
    </row>
    <row r="5" spans="1:5" ht="15.75">
      <c r="A5" s="1255" t="s">
        <v>832</v>
      </c>
      <c r="B5" s="1255"/>
      <c r="C5" s="1255"/>
      <c r="D5" s="1255"/>
      <c r="E5" s="1255"/>
    </row>
    <row r="6" spans="1:5" ht="15.75">
      <c r="A6" s="1036"/>
      <c r="B6" s="1036"/>
      <c r="C6" s="1037"/>
      <c r="D6" s="1036"/>
      <c r="E6" s="1036"/>
    </row>
    <row r="7" spans="1:5" ht="15.75">
      <c r="A7" s="1256" t="s">
        <v>833</v>
      </c>
      <c r="B7" s="1256"/>
      <c r="C7" s="1257"/>
      <c r="D7" s="1257"/>
      <c r="E7" s="1257"/>
    </row>
    <row r="8" spans="1:5" ht="15.75">
      <c r="A8" s="1038"/>
      <c r="B8" s="1038"/>
      <c r="C8" s="1039"/>
      <c r="D8" s="1039"/>
      <c r="E8" s="1039"/>
    </row>
    <row r="9" spans="1:5" ht="15.75">
      <c r="A9" s="1251" t="s">
        <v>834</v>
      </c>
      <c r="B9" s="1251"/>
      <c r="C9" s="1251" t="s">
        <v>835</v>
      </c>
      <c r="D9" s="1251"/>
      <c r="E9" s="1251"/>
    </row>
    <row r="10" spans="1:5" ht="15.75">
      <c r="A10" s="1038"/>
      <c r="B10" s="1038"/>
      <c r="C10" s="1039"/>
      <c r="D10" s="1039"/>
      <c r="E10" s="1039"/>
    </row>
    <row r="11" spans="1:5" ht="15.75">
      <c r="A11" s="1251" t="s">
        <v>836</v>
      </c>
      <c r="B11" s="1251"/>
      <c r="C11" s="1040" t="s">
        <v>17</v>
      </c>
      <c r="D11" s="1036"/>
      <c r="E11" s="1036"/>
    </row>
    <row r="12" spans="1:5" ht="15.75">
      <c r="A12" s="1038"/>
      <c r="B12" s="1038"/>
      <c r="C12" s="1041"/>
      <c r="D12" s="1039"/>
      <c r="E12" s="1039"/>
    </row>
    <row r="13" spans="1:5" ht="15.75">
      <c r="A13" s="1252" t="s">
        <v>837</v>
      </c>
      <c r="B13" s="1252"/>
      <c r="C13" s="1040"/>
      <c r="D13" s="1042"/>
      <c r="E13" s="1042"/>
    </row>
    <row r="15" spans="1:5" ht="90">
      <c r="A15" s="1043" t="s">
        <v>838</v>
      </c>
      <c r="B15" s="1043" t="s">
        <v>189</v>
      </c>
      <c r="C15" s="1043" t="s">
        <v>839</v>
      </c>
      <c r="D15" s="1043" t="s">
        <v>840</v>
      </c>
      <c r="E15" s="1043" t="s">
        <v>841</v>
      </c>
    </row>
    <row r="16" spans="1:5" ht="15">
      <c r="A16" s="1044">
        <v>1</v>
      </c>
      <c r="B16" s="1044">
        <v>2</v>
      </c>
      <c r="C16" s="1044">
        <v>3</v>
      </c>
      <c r="D16" s="1044">
        <v>4</v>
      </c>
      <c r="E16" s="1044">
        <v>5</v>
      </c>
    </row>
    <row r="17" spans="1:6" ht="240">
      <c r="A17" s="1045">
        <v>1</v>
      </c>
      <c r="B17" s="1046" t="s">
        <v>842</v>
      </c>
      <c r="C17" s="1046" t="s">
        <v>883</v>
      </c>
      <c r="D17" s="1046" t="s">
        <v>884</v>
      </c>
      <c r="E17" s="1047">
        <f>((((2416*0.1072*1.2)+(5593*1.2*0.008))*0*2/1000)+(((2416*0.136*1.2)+(5593*1.2*3.5*0.04))*0*2/1000))*1000</f>
        <v>0</v>
      </c>
    </row>
    <row r="18" spans="1:6" ht="15">
      <c r="A18" s="1048">
        <v>2</v>
      </c>
      <c r="B18" s="1049" t="s">
        <v>843</v>
      </c>
      <c r="C18" s="1049"/>
      <c r="D18" s="1049"/>
      <c r="E18" s="1050">
        <f>E17</f>
        <v>0</v>
      </c>
    </row>
    <row r="19" spans="1:6" ht="15">
      <c r="A19" s="1048"/>
      <c r="B19" s="1051" t="s">
        <v>844</v>
      </c>
      <c r="C19" s="1049"/>
      <c r="D19" s="1049"/>
      <c r="E19" s="1052">
        <f>E18</f>
        <v>0</v>
      </c>
    </row>
    <row r="22" spans="1:6" ht="15.75">
      <c r="B22" s="1217" t="s">
        <v>731</v>
      </c>
      <c r="C22" s="1217"/>
      <c r="D22" s="1054"/>
      <c r="E22" s="1054"/>
      <c r="F22" s="1055"/>
    </row>
    <row r="23" spans="1:6" ht="15.75">
      <c r="B23" s="1056"/>
      <c r="C23" s="1057"/>
      <c r="D23" s="1054"/>
      <c r="E23" s="1054"/>
      <c r="F23" s="1055"/>
    </row>
    <row r="24" spans="1:6" ht="15.75">
      <c r="B24" s="1003" t="s">
        <v>730</v>
      </c>
      <c r="C24" s="1003"/>
      <c r="D24" s="1003" t="s">
        <v>577</v>
      </c>
      <c r="E24" s="1054"/>
      <c r="F24" s="1003"/>
    </row>
    <row r="27" spans="1:6" s="1059" customFormat="1" ht="11.25">
      <c r="A27" s="1058"/>
      <c r="B27" s="1058"/>
      <c r="C27" s="1058"/>
      <c r="D27" s="1058"/>
      <c r="E27" s="1058"/>
    </row>
    <row r="33" spans="1:5" s="1059" customFormat="1" ht="11.25">
      <c r="A33" s="1058"/>
      <c r="B33" s="1058"/>
      <c r="C33" s="1058"/>
      <c r="D33" s="1058"/>
      <c r="E33" s="1058"/>
    </row>
    <row r="37" spans="1:5" s="1059" customFormat="1" ht="11.25">
      <c r="A37" s="1058"/>
      <c r="B37" s="1058"/>
      <c r="C37" s="1058"/>
      <c r="D37" s="1058"/>
      <c r="E37" s="1058"/>
    </row>
  </sheetData>
  <mergeCells count="10">
    <mergeCell ref="A11:B11"/>
    <mergeCell ref="A13:B13"/>
    <mergeCell ref="B22:C22"/>
    <mergeCell ref="C1:E1"/>
    <mergeCell ref="A4:E4"/>
    <mergeCell ref="A5:E5"/>
    <mergeCell ref="A7:B7"/>
    <mergeCell ref="C7:E7"/>
    <mergeCell ref="A9:B9"/>
    <mergeCell ref="C9:E9"/>
  </mergeCells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view="pageBreakPreview" topLeftCell="A6" zoomScale="85" zoomScaleNormal="100" zoomScaleSheetLayoutView="85" workbookViewId="0">
      <selection activeCell="U22" sqref="U22"/>
    </sheetView>
  </sheetViews>
  <sheetFormatPr defaultRowHeight="12.75"/>
  <cols>
    <col min="1" max="1" width="3.5703125" customWidth="1"/>
    <col min="2" max="2" width="12.28515625" customWidth="1"/>
    <col min="3" max="3" width="3.85546875" customWidth="1"/>
    <col min="4" max="4" width="4.7109375" customWidth="1"/>
    <col min="5" max="5" width="2.5703125" customWidth="1"/>
    <col min="6" max="6" width="7.140625" customWidth="1"/>
    <col min="7" max="7" width="5.140625" customWidth="1"/>
    <col min="8" max="8" width="6.85546875" customWidth="1"/>
    <col min="9" max="9" width="5.28515625" customWidth="1"/>
    <col min="10" max="10" width="4.28515625" customWidth="1"/>
    <col min="11" max="11" width="5.5703125" customWidth="1"/>
    <col min="12" max="12" width="6.7109375" customWidth="1"/>
    <col min="13" max="13" width="3.85546875" customWidth="1"/>
    <col min="14" max="14" width="9" customWidth="1"/>
    <col min="15" max="15" width="7.85546875" customWidth="1"/>
    <col min="16" max="16" width="14.28515625" customWidth="1"/>
    <col min="17" max="17" width="1.5703125" hidden="1" customWidth="1"/>
    <col min="18" max="18" width="10" hidden="1" customWidth="1"/>
    <col min="19" max="19" width="0.140625" hidden="1" customWidth="1"/>
  </cols>
  <sheetData>
    <row r="1" spans="1:18" s="68" customFormat="1" ht="9.75" customHeight="1">
      <c r="A1" s="73"/>
      <c r="B1" s="73"/>
      <c r="C1" s="73"/>
      <c r="D1" s="73"/>
      <c r="E1" s="73"/>
      <c r="G1" s="10"/>
      <c r="H1" s="10"/>
      <c r="I1" s="73"/>
    </row>
    <row r="2" spans="1:18" ht="15.75" hidden="1">
      <c r="A2" s="1272"/>
      <c r="B2" s="1272"/>
      <c r="C2" s="1272"/>
      <c r="D2" s="1272"/>
      <c r="E2" s="1272"/>
      <c r="F2" s="1272"/>
      <c r="G2" s="128"/>
      <c r="H2" s="1242" t="s">
        <v>662</v>
      </c>
      <c r="I2" s="1242"/>
      <c r="J2" s="1242"/>
      <c r="K2" s="1242"/>
      <c r="L2" s="1242"/>
      <c r="M2" s="1242"/>
      <c r="N2" s="1242"/>
      <c r="O2" s="1242"/>
      <c r="P2" s="1242"/>
      <c r="Q2" s="129"/>
    </row>
    <row r="3" spans="1:18" ht="15" customHeight="1">
      <c r="A3" s="1273"/>
      <c r="B3" s="1273"/>
      <c r="C3" s="1273"/>
      <c r="D3" s="1273"/>
      <c r="E3" s="1273"/>
      <c r="F3" s="1273"/>
      <c r="G3" s="3"/>
      <c r="H3" s="1242"/>
      <c r="I3" s="1242"/>
      <c r="J3" s="1242"/>
      <c r="K3" s="1242"/>
      <c r="L3" s="1242"/>
      <c r="M3" s="1242"/>
      <c r="N3" s="1274"/>
      <c r="O3" s="1274"/>
      <c r="P3" s="1274"/>
      <c r="Q3" s="130"/>
    </row>
    <row r="4" spans="1:18" ht="15.75" hidden="1">
      <c r="A4" s="1273"/>
      <c r="B4" s="1273"/>
      <c r="C4" s="1273"/>
      <c r="D4" s="1273"/>
      <c r="E4" s="1273"/>
      <c r="F4" s="1273"/>
      <c r="G4" s="3"/>
      <c r="H4" s="1244"/>
      <c r="I4" s="1244"/>
      <c r="J4" s="1244"/>
      <c r="K4" s="1244"/>
      <c r="L4" s="1244"/>
      <c r="M4" s="1244"/>
      <c r="N4" s="1244"/>
      <c r="O4" s="1244"/>
      <c r="P4" s="1244"/>
      <c r="Q4" s="130"/>
    </row>
    <row r="5" spans="1:18" ht="15.75" hidden="1">
      <c r="A5" s="1273"/>
      <c r="B5" s="1273"/>
      <c r="C5" s="1273"/>
      <c r="D5" s="1273"/>
      <c r="E5" s="1273"/>
      <c r="F5" s="1273"/>
      <c r="G5" s="3"/>
      <c r="H5" s="1244"/>
      <c r="I5" s="1244"/>
      <c r="J5" s="1244"/>
      <c r="K5" s="1244"/>
      <c r="L5" s="1244"/>
      <c r="M5" s="1244"/>
      <c r="N5" s="1244"/>
      <c r="O5" s="1244"/>
      <c r="P5" s="1244"/>
      <c r="Q5" s="130"/>
    </row>
    <row r="6" spans="1:18" ht="15.75">
      <c r="A6" s="1244" t="s">
        <v>828</v>
      </c>
      <c r="B6" s="1244"/>
      <c r="C6" s="1244"/>
      <c r="D6" s="1244"/>
      <c r="E6" s="1244"/>
      <c r="F6" s="1244"/>
      <c r="G6" s="1244"/>
      <c r="H6" s="1244"/>
      <c r="I6" s="1244"/>
      <c r="J6" s="1244"/>
      <c r="K6" s="1244"/>
      <c r="L6" s="1244"/>
      <c r="M6" s="1244"/>
      <c r="N6" s="1244"/>
      <c r="O6" s="1244"/>
      <c r="P6" s="1244"/>
      <c r="Q6" s="130"/>
    </row>
    <row r="7" spans="1:18" ht="15" customHeight="1">
      <c r="A7" s="1244"/>
      <c r="B7" s="1244"/>
      <c r="C7" s="1244"/>
      <c r="D7" s="1244"/>
      <c r="E7" s="1244"/>
      <c r="F7" s="1244"/>
      <c r="G7" s="127"/>
      <c r="H7" s="1244"/>
      <c r="I7" s="1244"/>
      <c r="J7" s="1244"/>
      <c r="K7" s="1244"/>
      <c r="L7" s="1244"/>
      <c r="M7" s="1244"/>
      <c r="N7" s="1244"/>
      <c r="O7" s="1244"/>
      <c r="P7" s="1244"/>
      <c r="Q7" s="130"/>
    </row>
    <row r="8" spans="1:18" ht="29.25" customHeight="1">
      <c r="A8" s="1275" t="s">
        <v>18</v>
      </c>
      <c r="B8" s="1275"/>
      <c r="C8" s="1275"/>
      <c r="D8" s="1275"/>
      <c r="E8" s="1275"/>
      <c r="F8" s="1275"/>
      <c r="G8" s="131"/>
      <c r="H8" s="3"/>
      <c r="I8" s="3"/>
      <c r="J8" s="3"/>
      <c r="K8" s="1243"/>
      <c r="L8" s="1243"/>
      <c r="M8" s="1243"/>
      <c r="N8" s="1243"/>
      <c r="O8" s="1243"/>
      <c r="P8" s="1243"/>
      <c r="Q8" s="132"/>
    </row>
    <row r="9" spans="1:18" ht="36.75" customHeight="1">
      <c r="A9" s="1276"/>
      <c r="B9" s="1276"/>
      <c r="C9" s="1276"/>
      <c r="D9" s="1276"/>
      <c r="E9" s="1276"/>
      <c r="F9" s="1276"/>
      <c r="G9" s="78"/>
      <c r="H9" s="128"/>
      <c r="I9" s="128"/>
      <c r="J9" s="128"/>
      <c r="K9" s="1243" t="s">
        <v>423</v>
      </c>
      <c r="L9" s="1243"/>
      <c r="M9" s="1243"/>
      <c r="N9" s="1243"/>
      <c r="O9" s="1243"/>
      <c r="P9" s="1243"/>
      <c r="Q9" s="132"/>
    </row>
    <row r="10" spans="1:18" ht="15.75">
      <c r="A10" s="131"/>
      <c r="B10" s="131"/>
      <c r="C10" s="131"/>
      <c r="D10" s="131"/>
      <c r="E10" s="131"/>
      <c r="F10" s="131"/>
      <c r="G10" s="131"/>
      <c r="H10" s="128"/>
      <c r="I10" s="128"/>
      <c r="J10" s="128"/>
      <c r="K10" s="128"/>
      <c r="L10" s="128"/>
      <c r="M10" s="128"/>
      <c r="N10" s="27"/>
      <c r="O10" s="27"/>
      <c r="P10" s="27"/>
      <c r="Q10" s="132"/>
    </row>
    <row r="11" spans="1:18" ht="15.75" customHeight="1">
      <c r="A11" s="1272" t="s">
        <v>105</v>
      </c>
      <c r="B11" s="1272"/>
      <c r="C11" s="1272"/>
      <c r="D11" s="1272"/>
      <c r="E11" s="1272"/>
      <c r="F11" s="1272"/>
      <c r="G11" s="128"/>
      <c r="H11" s="128"/>
      <c r="I11" s="128"/>
      <c r="J11" s="128"/>
      <c r="K11" s="1243"/>
      <c r="L11" s="1243"/>
      <c r="M11" s="1243"/>
      <c r="N11" s="1243"/>
      <c r="O11" s="1243"/>
      <c r="P11" s="1243"/>
      <c r="Q11" s="132"/>
    </row>
    <row r="12" spans="1:18" ht="15.75">
      <c r="A12" s="1273"/>
      <c r="B12" s="1273"/>
      <c r="C12" s="1273"/>
      <c r="D12" s="1273"/>
      <c r="E12" s="1273"/>
      <c r="F12" s="1273"/>
      <c r="G12" s="3"/>
      <c r="H12" s="128"/>
      <c r="I12" s="128"/>
      <c r="J12" s="128"/>
      <c r="K12" s="128"/>
      <c r="L12" s="128"/>
      <c r="M12" s="128"/>
      <c r="N12" s="1244"/>
      <c r="O12" s="1244"/>
      <c r="P12" s="1244"/>
      <c r="Q12" s="132"/>
    </row>
    <row r="13" spans="1:18" ht="15.75" customHeight="1">
      <c r="A13" s="1272" t="s">
        <v>106</v>
      </c>
      <c r="B13" s="1272"/>
      <c r="C13" s="1272"/>
      <c r="D13" s="1272"/>
      <c r="E13" s="1272"/>
      <c r="F13" s="1272"/>
      <c r="G13" s="128"/>
      <c r="H13" s="128"/>
      <c r="I13" s="128"/>
      <c r="J13" s="128"/>
      <c r="K13" s="1243" t="s">
        <v>17</v>
      </c>
      <c r="L13" s="1243"/>
      <c r="M13" s="1243"/>
      <c r="N13" s="1243"/>
      <c r="O13" s="1243"/>
      <c r="P13" s="1243"/>
      <c r="Q13" s="132"/>
    </row>
    <row r="14" spans="1:18">
      <c r="A14" s="1"/>
      <c r="B14" s="1276"/>
      <c r="C14" s="1276"/>
      <c r="D14" s="1276"/>
      <c r="E14" s="1276"/>
      <c r="F14" s="1276"/>
      <c r="G14" s="1276"/>
      <c r="H14" s="1276"/>
      <c r="I14" s="1276"/>
      <c r="J14" s="1276"/>
      <c r="K14" s="1276"/>
      <c r="L14" s="1276"/>
      <c r="M14" s="1276"/>
      <c r="N14" s="1276"/>
      <c r="O14" s="78"/>
      <c r="P14" s="78"/>
      <c r="Q14" s="133"/>
    </row>
    <row r="15" spans="1:18" ht="32.25" customHeight="1">
      <c r="A15" s="134" t="s">
        <v>43</v>
      </c>
      <c r="B15" s="1265" t="s">
        <v>44</v>
      </c>
      <c r="C15" s="1265"/>
      <c r="D15" s="1265"/>
      <c r="E15" s="1265"/>
      <c r="F15" s="1265"/>
      <c r="G15" s="1265"/>
      <c r="H15" s="1265"/>
      <c r="I15" s="1265"/>
      <c r="J15" s="1265"/>
      <c r="K15" s="1265"/>
      <c r="L15" s="1265"/>
      <c r="M15" s="1265"/>
      <c r="N15" s="1266"/>
      <c r="O15" s="135"/>
      <c r="P15" s="136" t="s">
        <v>45</v>
      </c>
      <c r="Q15" s="137"/>
    </row>
    <row r="16" spans="1:18" ht="45.75" customHeight="1">
      <c r="A16" s="138" t="s">
        <v>4</v>
      </c>
      <c r="B16" s="1267" t="s">
        <v>52</v>
      </c>
      <c r="C16" s="1267"/>
      <c r="D16" s="1261"/>
      <c r="E16" s="1261"/>
      <c r="F16" s="1261"/>
      <c r="G16" s="1261"/>
      <c r="H16" s="1261"/>
      <c r="I16" s="1262"/>
      <c r="J16" s="1262"/>
      <c r="K16" s="1262"/>
      <c r="L16" s="1262"/>
      <c r="M16" s="1262"/>
      <c r="N16" s="1262"/>
      <c r="O16" s="139"/>
      <c r="P16" s="153">
        <f>N18*N19*N20/1000</f>
        <v>0</v>
      </c>
      <c r="Q16" s="140"/>
      <c r="R16" s="154">
        <f>R26*0.77</f>
        <v>17.170000000000002</v>
      </c>
    </row>
    <row r="17" spans="1:20" s="150" customFormat="1">
      <c r="A17" s="141"/>
      <c r="B17" s="1263" t="s">
        <v>53</v>
      </c>
      <c r="C17" s="1264"/>
      <c r="D17" s="1264"/>
      <c r="E17" s="1264"/>
      <c r="F17" s="1264"/>
      <c r="G17" s="1264"/>
      <c r="H17" s="1264"/>
      <c r="I17" s="1264"/>
      <c r="J17" s="1264"/>
      <c r="K17" s="1264"/>
      <c r="L17" s="1264"/>
      <c r="M17" s="155"/>
      <c r="N17" s="156">
        <v>0</v>
      </c>
      <c r="O17" s="156" t="s">
        <v>50</v>
      </c>
      <c r="P17" s="157"/>
      <c r="Q17" s="148"/>
      <c r="R17" s="149"/>
    </row>
    <row r="18" spans="1:20" s="150" customFormat="1">
      <c r="A18" s="141"/>
      <c r="B18" s="1263" t="s">
        <v>54</v>
      </c>
      <c r="C18" s="1264"/>
      <c r="D18" s="1264"/>
      <c r="E18" s="1264"/>
      <c r="F18" s="1264"/>
      <c r="G18" s="1264"/>
      <c r="H18" s="1264"/>
      <c r="I18" s="1264"/>
      <c r="J18" s="1264"/>
      <c r="K18" s="1264"/>
      <c r="L18" s="1264"/>
      <c r="M18" s="155"/>
      <c r="N18" s="156">
        <v>0</v>
      </c>
      <c r="O18" s="156" t="s">
        <v>50</v>
      </c>
      <c r="P18" s="157"/>
      <c r="Q18" s="148"/>
      <c r="R18" s="149"/>
    </row>
    <row r="19" spans="1:20" s="150" customFormat="1">
      <c r="A19" s="141"/>
      <c r="B19" s="1263" t="s">
        <v>55</v>
      </c>
      <c r="C19" s="1264"/>
      <c r="D19" s="1264"/>
      <c r="E19" s="1264"/>
      <c r="F19" s="1264"/>
      <c r="G19" s="1264"/>
      <c r="H19" s="1264"/>
      <c r="I19" s="1264"/>
      <c r="J19" s="1264"/>
      <c r="K19" s="1264"/>
      <c r="L19" s="1264"/>
      <c r="M19" s="155"/>
      <c r="N19" s="221">
        <v>4</v>
      </c>
      <c r="O19" s="156" t="s">
        <v>56</v>
      </c>
      <c r="P19" s="157"/>
      <c r="Q19" s="148"/>
      <c r="R19" s="149"/>
    </row>
    <row r="20" spans="1:20" s="150" customFormat="1">
      <c r="A20" s="141"/>
      <c r="B20" s="1263" t="s">
        <v>57</v>
      </c>
      <c r="C20" s="1264"/>
      <c r="D20" s="1264"/>
      <c r="E20" s="1264"/>
      <c r="F20" s="1264"/>
      <c r="G20" s="1264"/>
      <c r="H20" s="1264"/>
      <c r="I20" s="1264"/>
      <c r="J20" s="1264"/>
      <c r="K20" s="1264"/>
      <c r="L20" s="1264"/>
      <c r="M20" s="155"/>
      <c r="N20" s="158">
        <v>2</v>
      </c>
      <c r="O20" s="156" t="s">
        <v>58</v>
      </c>
      <c r="P20" s="157"/>
      <c r="Q20" s="148"/>
      <c r="R20" s="149"/>
    </row>
    <row r="21" spans="1:20" ht="21.75" customHeight="1" thickBot="1">
      <c r="A21" s="159" t="s">
        <v>5</v>
      </c>
      <c r="B21" s="1270" t="s">
        <v>885</v>
      </c>
      <c r="C21" s="1271"/>
      <c r="D21" s="1271"/>
      <c r="E21" s="1271"/>
      <c r="F21" s="1271"/>
      <c r="G21" s="1271"/>
      <c r="H21" s="1271"/>
      <c r="I21" s="1271"/>
      <c r="J21" s="1271"/>
      <c r="K21" s="1271"/>
      <c r="L21" s="1271"/>
      <c r="M21" s="1271"/>
      <c r="N21" s="1271"/>
      <c r="O21" s="139"/>
      <c r="P21" s="160">
        <f>P16*0</f>
        <v>0</v>
      </c>
      <c r="Q21" s="140"/>
      <c r="R21" s="41"/>
    </row>
    <row r="22" spans="1:20" ht="21.75" customHeight="1" thickTop="1" thickBot="1">
      <c r="A22" s="138" t="s">
        <v>6</v>
      </c>
      <c r="B22" s="1270" t="s">
        <v>61</v>
      </c>
      <c r="C22" s="1271"/>
      <c r="D22" s="1271"/>
      <c r="E22" s="1271"/>
      <c r="F22" s="1271"/>
      <c r="G22" s="1271"/>
      <c r="H22" s="1271"/>
      <c r="I22" s="1271"/>
      <c r="J22" s="1271"/>
      <c r="K22" s="1271"/>
      <c r="L22" s="1271"/>
      <c r="M22" s="1271"/>
      <c r="N22" s="1271"/>
      <c r="O22" s="139"/>
      <c r="P22" s="153">
        <f>N25/1000</f>
        <v>0</v>
      </c>
      <c r="Q22" s="140"/>
      <c r="R22" s="41"/>
      <c r="S22" s="161">
        <f>N18*N19*N20/1000</f>
        <v>0</v>
      </c>
    </row>
    <row r="23" spans="1:20" ht="21.75" customHeight="1" thickTop="1">
      <c r="A23" s="162"/>
      <c r="B23" s="853"/>
      <c r="C23" s="854"/>
      <c r="D23" s="854"/>
      <c r="E23" s="854"/>
      <c r="F23" s="854"/>
      <c r="G23" s="854"/>
      <c r="H23" s="854"/>
      <c r="I23" s="854"/>
      <c r="J23" s="854"/>
      <c r="K23" s="854"/>
      <c r="L23" s="854"/>
      <c r="M23" s="854"/>
      <c r="N23" s="854"/>
      <c r="O23" s="139"/>
      <c r="P23" s="164"/>
      <c r="Q23" s="140"/>
      <c r="R23" s="41"/>
      <c r="S23" s="860"/>
    </row>
    <row r="24" spans="1:20" s="79" customFormat="1" ht="27.75" customHeight="1">
      <c r="A24" s="162"/>
      <c r="B24" s="1268" t="s">
        <v>62</v>
      </c>
      <c r="C24" s="1269"/>
      <c r="D24" s="1269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4"/>
      <c r="Q24" s="140"/>
      <c r="R24" s="133"/>
    </row>
    <row r="25" spans="1:20" s="150" customFormat="1" ht="39.75" customHeight="1">
      <c r="A25" s="141"/>
      <c r="B25" s="1263" t="s">
        <v>63</v>
      </c>
      <c r="C25" s="1264"/>
      <c r="D25" s="1264"/>
      <c r="E25" s="165">
        <f>N20</f>
        <v>2</v>
      </c>
      <c r="F25" s="166" t="s">
        <v>64</v>
      </c>
      <c r="G25" s="167" t="s">
        <v>59</v>
      </c>
      <c r="H25" s="167">
        <v>0</v>
      </c>
      <c r="I25" s="155" t="s">
        <v>50</v>
      </c>
      <c r="J25" s="155" t="s">
        <v>59</v>
      </c>
      <c r="K25" s="168">
        <v>4</v>
      </c>
      <c r="L25" s="155" t="s">
        <v>56</v>
      </c>
      <c r="M25" s="155" t="s">
        <v>60</v>
      </c>
      <c r="N25" s="166">
        <f>E25*H25*K25+0.01</f>
        <v>0.01</v>
      </c>
      <c r="O25" s="156" t="s">
        <v>50</v>
      </c>
      <c r="P25" s="157"/>
      <c r="Q25" s="148"/>
      <c r="R25" s="149"/>
    </row>
    <row r="26" spans="1:20" ht="19.5" customHeight="1">
      <c r="A26" s="159"/>
      <c r="B26" s="1259" t="s">
        <v>66</v>
      </c>
      <c r="C26" s="1259"/>
      <c r="D26" s="1259"/>
      <c r="E26" s="1259"/>
      <c r="F26" s="1259"/>
      <c r="G26" s="1259"/>
      <c r="H26" s="1259"/>
      <c r="I26" s="1260"/>
      <c r="J26" s="1260"/>
      <c r="K26" s="1260"/>
      <c r="L26" s="1260"/>
      <c r="M26" s="1260"/>
      <c r="N26" s="1260"/>
      <c r="O26" s="169"/>
      <c r="P26" s="170">
        <f>SUM(P16:P25)</f>
        <v>0</v>
      </c>
      <c r="Q26" s="171"/>
      <c r="R26" s="172">
        <f>R28/1.2</f>
        <v>22.3</v>
      </c>
      <c r="S26" s="173"/>
      <c r="T26" s="4"/>
    </row>
    <row r="27" spans="1:20" ht="19.5" customHeight="1">
      <c r="A27" s="159" t="s">
        <v>7</v>
      </c>
      <c r="B27" s="1261" t="s">
        <v>886</v>
      </c>
      <c r="C27" s="1261"/>
      <c r="D27" s="1261"/>
      <c r="E27" s="1261"/>
      <c r="F27" s="1261"/>
      <c r="G27" s="1261"/>
      <c r="H27" s="1261"/>
      <c r="I27" s="1262"/>
      <c r="J27" s="1262"/>
      <c r="K27" s="1262"/>
      <c r="L27" s="1262"/>
      <c r="M27" s="1262"/>
      <c r="N27" s="1262"/>
      <c r="O27" s="139"/>
      <c r="P27" s="174">
        <f>P26*0</f>
        <v>0</v>
      </c>
      <c r="Q27" s="140"/>
      <c r="R27" s="175"/>
      <c r="S27" s="176"/>
    </row>
    <row r="28" spans="1:20" ht="19.5" customHeight="1">
      <c r="A28" s="855"/>
      <c r="B28" s="1259" t="s">
        <v>67</v>
      </c>
      <c r="C28" s="1259"/>
      <c r="D28" s="1259"/>
      <c r="E28" s="1259"/>
      <c r="F28" s="1259"/>
      <c r="G28" s="1259"/>
      <c r="H28" s="1259"/>
      <c r="I28" s="1260"/>
      <c r="J28" s="1260"/>
      <c r="K28" s="1260"/>
      <c r="L28" s="1260"/>
      <c r="M28" s="1260"/>
      <c r="N28" s="1260"/>
      <c r="O28" s="178"/>
      <c r="P28" s="179">
        <f>SUM(P26:P27)</f>
        <v>0</v>
      </c>
      <c r="Q28" s="171"/>
      <c r="R28" s="180">
        <f>R30/1.12</f>
        <v>26.8</v>
      </c>
      <c r="S28" s="181"/>
    </row>
    <row r="29" spans="1:20" ht="19.5" customHeight="1">
      <c r="A29" s="159" t="s">
        <v>8</v>
      </c>
      <c r="B29" s="1261" t="s">
        <v>887</v>
      </c>
      <c r="C29" s="1261"/>
      <c r="D29" s="1261"/>
      <c r="E29" s="1261"/>
      <c r="F29" s="1261"/>
      <c r="G29" s="1261"/>
      <c r="H29" s="1261"/>
      <c r="I29" s="1262"/>
      <c r="J29" s="1262"/>
      <c r="K29" s="1262"/>
      <c r="L29" s="1262"/>
      <c r="M29" s="1262"/>
      <c r="N29" s="1262"/>
      <c r="O29" s="139"/>
      <c r="P29" s="174">
        <f>P28*0</f>
        <v>0</v>
      </c>
      <c r="Q29" s="140"/>
      <c r="R29" s="180"/>
      <c r="S29" s="181"/>
    </row>
    <row r="30" spans="1:20" ht="19.5" customHeight="1">
      <c r="A30" s="182"/>
      <c r="B30" s="1259" t="s">
        <v>68</v>
      </c>
      <c r="C30" s="1259"/>
      <c r="D30" s="1259"/>
      <c r="E30" s="1259"/>
      <c r="F30" s="1259"/>
      <c r="G30" s="1259"/>
      <c r="H30" s="1259"/>
      <c r="I30" s="1260"/>
      <c r="J30" s="1260"/>
      <c r="K30" s="1260"/>
      <c r="L30" s="1260"/>
      <c r="M30" s="1260"/>
      <c r="N30" s="1260"/>
      <c r="O30" s="178"/>
      <c r="P30" s="183">
        <f>SUM(P28:P29)</f>
        <v>0</v>
      </c>
      <c r="Q30" s="171"/>
      <c r="R30" s="180">
        <v>30</v>
      </c>
      <c r="S30" s="181"/>
    </row>
    <row r="31" spans="1:20" ht="19.5" customHeight="1">
      <c r="A31" s="184"/>
      <c r="B31" s="185"/>
      <c r="C31" s="185"/>
      <c r="D31" s="185"/>
      <c r="E31" s="185"/>
      <c r="F31" s="185"/>
      <c r="G31" s="185"/>
      <c r="H31" s="185"/>
      <c r="I31" s="185"/>
      <c r="J31" s="185"/>
      <c r="K31" s="185"/>
      <c r="L31" s="185"/>
      <c r="M31" s="185"/>
      <c r="N31" s="185"/>
      <c r="O31" s="185"/>
      <c r="P31" s="186"/>
      <c r="Q31" s="171"/>
      <c r="R31" s="180"/>
      <c r="S31" s="181"/>
    </row>
    <row r="32" spans="1:20" s="16" customFormat="1" ht="13.5" hidden="1" customHeight="1">
      <c r="A32" s="1082" t="s">
        <v>28</v>
      </c>
      <c r="B32" s="1082"/>
      <c r="C32" s="1082"/>
      <c r="D32" s="1082"/>
      <c r="E32" s="1082"/>
      <c r="F32" s="1082"/>
    </row>
    <row r="33" spans="1:20" s="16" customFormat="1" ht="9" customHeight="1">
      <c r="A33" s="71"/>
      <c r="B33" s="71"/>
      <c r="C33" s="71"/>
      <c r="D33" s="71"/>
      <c r="E33" s="71"/>
    </row>
    <row r="34" spans="1:20" s="16" customFormat="1" ht="14.25" customHeight="1">
      <c r="A34" s="62" t="s">
        <v>729</v>
      </c>
      <c r="B34" s="61"/>
      <c r="C34" s="60"/>
      <c r="D34" s="64"/>
      <c r="E34" s="187"/>
      <c r="O34" s="63"/>
    </row>
    <row r="35" spans="1:20" s="16" customFormat="1" ht="48" customHeight="1">
      <c r="A35" s="62"/>
      <c r="B35" s="54"/>
      <c r="C35" s="188"/>
      <c r="D35" s="189"/>
      <c r="E35" s="190"/>
      <c r="O35" s="63"/>
    </row>
    <row r="36" spans="1:20" ht="15.75">
      <c r="A36" s="1162" t="s">
        <v>730</v>
      </c>
      <c r="B36" s="1162"/>
      <c r="C36" s="1162"/>
      <c r="D36" s="1162"/>
      <c r="E36" s="1162"/>
      <c r="F36" s="1162"/>
      <c r="G36" s="1258"/>
      <c r="H36" s="1258"/>
      <c r="I36" s="1258"/>
      <c r="J36" s="80"/>
      <c r="K36" s="80"/>
      <c r="L36" s="80"/>
      <c r="M36" s="80"/>
      <c r="N36" s="80"/>
      <c r="O36" s="879" t="s">
        <v>577</v>
      </c>
      <c r="P36" s="191"/>
      <c r="Q36" s="41"/>
      <c r="R36" s="1258"/>
      <c r="S36" s="1258"/>
      <c r="T36" s="1258"/>
    </row>
    <row r="37" spans="1:20" s="16" customFormat="1" ht="9" customHeight="1">
      <c r="A37" s="63"/>
      <c r="B37" s="61"/>
      <c r="C37" s="60"/>
      <c r="D37" s="64"/>
      <c r="E37" s="187"/>
    </row>
    <row r="38" spans="1:20" s="53" customFormat="1" ht="24" hidden="1" customHeight="1">
      <c r="A38" s="1082" t="s">
        <v>29</v>
      </c>
      <c r="B38" s="1082"/>
      <c r="C38" s="1082"/>
      <c r="D38" s="1082"/>
      <c r="E38" s="1082"/>
      <c r="F38" s="1082"/>
    </row>
    <row r="39" spans="1:20" s="53" customFormat="1" ht="15.75" hidden="1">
      <c r="A39" s="71"/>
      <c r="B39" s="71"/>
      <c r="C39" s="71"/>
      <c r="D39" s="71"/>
      <c r="E39" s="71"/>
    </row>
    <row r="40" spans="1:20" s="53" customFormat="1" ht="15.75" hidden="1">
      <c r="A40" s="720" t="s">
        <v>575</v>
      </c>
      <c r="B40" s="61"/>
      <c r="C40" s="60"/>
      <c r="D40" s="81"/>
      <c r="E40" s="82"/>
    </row>
    <row r="41" spans="1:20" s="53" customFormat="1" ht="18" hidden="1" customHeight="1">
      <c r="A41" s="720"/>
      <c r="B41" s="61"/>
      <c r="C41" s="60"/>
      <c r="O41" s="64"/>
    </row>
    <row r="42" spans="1:20" s="192" customFormat="1" ht="16.5" hidden="1" customHeight="1">
      <c r="A42" s="725" t="s">
        <v>600</v>
      </c>
      <c r="B42" s="61"/>
      <c r="C42" s="60"/>
      <c r="D42" s="74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732" t="s">
        <v>573</v>
      </c>
      <c r="P42" s="53"/>
    </row>
    <row r="43" spans="1:20" s="192" customFormat="1" ht="15.75" hidden="1">
      <c r="A43" s="717"/>
      <c r="B43" s="51"/>
      <c r="C43" s="51"/>
      <c r="D43" s="50"/>
      <c r="E43" s="51"/>
      <c r="O43" s="618"/>
    </row>
    <row r="44" spans="1:20" s="53" customFormat="1" ht="14.25" hidden="1" customHeight="1">
      <c r="A44" s="727" t="s">
        <v>576</v>
      </c>
      <c r="B44" s="51"/>
      <c r="C44" s="51"/>
      <c r="D44" s="192"/>
      <c r="E44" s="64"/>
      <c r="F44" s="192"/>
      <c r="G44" s="192"/>
      <c r="H44" s="192"/>
      <c r="I44" s="192"/>
      <c r="J44" s="192"/>
      <c r="K44" s="192"/>
      <c r="L44" s="192"/>
      <c r="M44" s="192"/>
      <c r="N44" s="192"/>
      <c r="O44" s="727" t="s">
        <v>577</v>
      </c>
      <c r="P44" s="192"/>
    </row>
    <row r="45" spans="1:20" s="53" customFormat="1" ht="9" customHeight="1">
      <c r="A45" s="80"/>
      <c r="B45" s="80"/>
      <c r="C45" s="80"/>
      <c r="D45" s="50"/>
      <c r="E45" s="80"/>
    </row>
    <row r="46" spans="1:20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41"/>
    </row>
    <row r="47" spans="1:20">
      <c r="Q47" s="41"/>
    </row>
    <row r="48" spans="1:20" ht="15.75">
      <c r="Q48" s="193"/>
      <c r="R48" s="193"/>
    </row>
    <row r="49" spans="1:17">
      <c r="Q49" s="41"/>
    </row>
    <row r="50" spans="1:17">
      <c r="Q50" s="41"/>
    </row>
    <row r="51" spans="1:17">
      <c r="Q51" s="41"/>
    </row>
    <row r="52" spans="1:17" ht="9" customHeight="1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</row>
  </sheetData>
  <mergeCells count="42">
    <mergeCell ref="B14:N14"/>
    <mergeCell ref="H7:P7"/>
    <mergeCell ref="A9:F9"/>
    <mergeCell ref="K9:P9"/>
    <mergeCell ref="K11:P11"/>
    <mergeCell ref="N12:P12"/>
    <mergeCell ref="A5:F5"/>
    <mergeCell ref="H5:P5"/>
    <mergeCell ref="A6:P6"/>
    <mergeCell ref="A13:F13"/>
    <mergeCell ref="K13:P13"/>
    <mergeCell ref="A7:F7"/>
    <mergeCell ref="A8:F8"/>
    <mergeCell ref="K8:P8"/>
    <mergeCell ref="A11:F11"/>
    <mergeCell ref="A12:F12"/>
    <mergeCell ref="A2:F2"/>
    <mergeCell ref="H2:P2"/>
    <mergeCell ref="A3:F3"/>
    <mergeCell ref="H3:P3"/>
    <mergeCell ref="A4:F4"/>
    <mergeCell ref="H4:P4"/>
    <mergeCell ref="B25:D25"/>
    <mergeCell ref="B26:N26"/>
    <mergeCell ref="B15:N15"/>
    <mergeCell ref="B27:N27"/>
    <mergeCell ref="B16:N16"/>
    <mergeCell ref="B24:D24"/>
    <mergeCell ref="B17:L17"/>
    <mergeCell ref="B21:N21"/>
    <mergeCell ref="B22:N22"/>
    <mergeCell ref="B18:L18"/>
    <mergeCell ref="B19:L19"/>
    <mergeCell ref="B20:L20"/>
    <mergeCell ref="R36:T36"/>
    <mergeCell ref="A38:F38"/>
    <mergeCell ref="B28:N28"/>
    <mergeCell ref="B29:N29"/>
    <mergeCell ref="B30:N30"/>
    <mergeCell ref="A32:F32"/>
    <mergeCell ref="A36:F36"/>
    <mergeCell ref="G36:I36"/>
  </mergeCells>
  <pageMargins left="0.74803149606299213" right="0.35433070866141736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2"/>
  <sheetViews>
    <sheetView topLeftCell="A10" workbookViewId="0">
      <selection activeCell="B25" sqref="B25:N25"/>
    </sheetView>
  </sheetViews>
  <sheetFormatPr defaultRowHeight="12.75"/>
  <cols>
    <col min="1" max="1" width="3.5703125" customWidth="1"/>
    <col min="2" max="2" width="11.42578125" customWidth="1"/>
    <col min="3" max="3" width="3.85546875" customWidth="1"/>
    <col min="4" max="4" width="4.7109375" customWidth="1"/>
    <col min="5" max="5" width="4.5703125" customWidth="1"/>
    <col min="6" max="6" width="5.7109375" customWidth="1"/>
    <col min="7" max="7" width="2.5703125" customWidth="1"/>
    <col min="8" max="8" width="7.140625" customWidth="1"/>
    <col min="9" max="9" width="5.28515625" customWidth="1"/>
    <col min="10" max="10" width="2.42578125" customWidth="1"/>
    <col min="11" max="11" width="5.5703125" customWidth="1"/>
    <col min="12" max="12" width="6.7109375" customWidth="1"/>
    <col min="13" max="13" width="3.85546875" customWidth="1"/>
    <col min="14" max="14" width="7.5703125" customWidth="1"/>
    <col min="15" max="15" width="7.85546875" customWidth="1"/>
    <col min="16" max="16" width="13.28515625" customWidth="1"/>
    <col min="17" max="17" width="1.5703125" hidden="1" customWidth="1"/>
    <col min="18" max="18" width="10" hidden="1" customWidth="1"/>
    <col min="19" max="19" width="10.28515625" hidden="1" customWidth="1"/>
    <col min="20" max="23" width="9.140625" hidden="1" customWidth="1"/>
  </cols>
  <sheetData>
    <row r="1" spans="1:18" s="68" customFormat="1" ht="15.75">
      <c r="A1" s="73"/>
      <c r="B1" s="73"/>
      <c r="C1" s="73"/>
      <c r="D1" s="73"/>
      <c r="E1" s="73"/>
      <c r="G1" s="948"/>
      <c r="H1" s="948"/>
      <c r="I1" s="73"/>
    </row>
    <row r="2" spans="1:18" ht="15.75">
      <c r="A2" s="1272"/>
      <c r="B2" s="1272"/>
      <c r="C2" s="1272"/>
      <c r="D2" s="1272"/>
      <c r="E2" s="1272"/>
      <c r="F2" s="1272"/>
      <c r="G2" s="933"/>
      <c r="H2" s="1242"/>
      <c r="I2" s="1242"/>
      <c r="J2" s="1242"/>
      <c r="K2" s="1242"/>
      <c r="L2" s="1242"/>
      <c r="M2" s="1242"/>
      <c r="N2" s="1242"/>
      <c r="O2" s="1242"/>
      <c r="P2" s="1242"/>
      <c r="Q2" s="129"/>
    </row>
    <row r="3" spans="1:18" ht="15.75">
      <c r="A3" s="1273"/>
      <c r="B3" s="1273"/>
      <c r="C3" s="1273"/>
      <c r="D3" s="1273"/>
      <c r="E3" s="1273"/>
      <c r="F3" s="1273"/>
      <c r="G3" s="937"/>
      <c r="H3" s="1242"/>
      <c r="I3" s="1242"/>
      <c r="J3" s="1242"/>
      <c r="K3" s="1242"/>
      <c r="L3" s="1242"/>
      <c r="M3" s="1242"/>
      <c r="N3" s="1274"/>
      <c r="O3" s="1274"/>
      <c r="P3" s="1274"/>
      <c r="Q3" s="130"/>
    </row>
    <row r="4" spans="1:18" ht="15.75">
      <c r="A4" s="1273"/>
      <c r="B4" s="1273"/>
      <c r="C4" s="1273"/>
      <c r="D4" s="1273"/>
      <c r="E4" s="1273"/>
      <c r="F4" s="1273"/>
      <c r="G4" s="937"/>
      <c r="H4" s="1244"/>
      <c r="I4" s="1244"/>
      <c r="J4" s="1244"/>
      <c r="K4" s="1244"/>
      <c r="L4" s="1244"/>
      <c r="M4" s="1244"/>
      <c r="N4" s="1244"/>
      <c r="O4" s="1244"/>
      <c r="P4" s="1244"/>
      <c r="Q4" s="130"/>
    </row>
    <row r="5" spans="1:18" ht="15.75">
      <c r="A5" s="1273"/>
      <c r="B5" s="1273"/>
      <c r="C5" s="1273"/>
      <c r="D5" s="1273"/>
      <c r="E5" s="1273"/>
      <c r="F5" s="1273"/>
      <c r="G5" s="937"/>
      <c r="H5" s="1244"/>
      <c r="I5" s="1244"/>
      <c r="J5" s="1244"/>
      <c r="K5" s="1244"/>
      <c r="L5" s="1244"/>
      <c r="M5" s="1244"/>
      <c r="N5" s="1244"/>
      <c r="O5" s="1244"/>
      <c r="P5" s="1244"/>
      <c r="Q5" s="130"/>
    </row>
    <row r="6" spans="1:18" ht="15.75">
      <c r="A6" s="1280" t="s">
        <v>594</v>
      </c>
      <c r="B6" s="1280"/>
      <c r="C6" s="1280"/>
      <c r="D6" s="1280"/>
      <c r="E6" s="1280"/>
      <c r="F6" s="1280"/>
      <c r="G6" s="1280"/>
      <c r="H6" s="1280"/>
      <c r="I6" s="1280"/>
      <c r="J6" s="1280"/>
      <c r="K6" s="1280"/>
      <c r="L6" s="1280"/>
      <c r="M6" s="1280"/>
      <c r="N6" s="1280"/>
      <c r="O6" s="1280"/>
      <c r="P6" s="1280"/>
      <c r="Q6" s="130"/>
    </row>
    <row r="7" spans="1:18" ht="15.75">
      <c r="A7" s="1244"/>
      <c r="B7" s="1244"/>
      <c r="C7" s="1244"/>
      <c r="D7" s="1244"/>
      <c r="E7" s="1244"/>
      <c r="F7" s="1244"/>
      <c r="G7" s="935"/>
      <c r="H7" s="1244"/>
      <c r="I7" s="1244"/>
      <c r="J7" s="1244"/>
      <c r="K7" s="1244"/>
      <c r="L7" s="1244"/>
      <c r="M7" s="1244"/>
      <c r="N7" s="1244"/>
      <c r="O7" s="1244"/>
      <c r="P7" s="1244"/>
      <c r="Q7" s="130"/>
    </row>
    <row r="8" spans="1:18" ht="15.75" customHeight="1">
      <c r="A8" s="1275" t="s">
        <v>18</v>
      </c>
      <c r="B8" s="1275"/>
      <c r="C8" s="1275"/>
      <c r="D8" s="1275"/>
      <c r="E8" s="1275"/>
      <c r="F8" s="1275"/>
      <c r="G8" s="936"/>
      <c r="H8" s="937"/>
      <c r="I8" s="937"/>
      <c r="J8" s="937"/>
      <c r="K8" s="1243" t="s">
        <v>736</v>
      </c>
      <c r="L8" s="1243"/>
      <c r="M8" s="1243"/>
      <c r="N8" s="1243"/>
      <c r="O8" s="1243"/>
      <c r="P8" s="1243"/>
      <c r="Q8" s="132"/>
    </row>
    <row r="9" spans="1:18" ht="15.75" customHeight="1">
      <c r="A9" s="1276"/>
      <c r="B9" s="1276"/>
      <c r="C9" s="1276"/>
      <c r="D9" s="1276"/>
      <c r="E9" s="1276"/>
      <c r="F9" s="1276"/>
      <c r="G9" s="934"/>
      <c r="H9" s="933"/>
      <c r="I9" s="933"/>
      <c r="J9" s="933"/>
      <c r="K9" s="1243" t="s">
        <v>737</v>
      </c>
      <c r="L9" s="1243"/>
      <c r="M9" s="1243"/>
      <c r="N9" s="1243"/>
      <c r="O9" s="1243"/>
      <c r="P9" s="1243"/>
      <c r="Q9" s="132"/>
    </row>
    <row r="10" spans="1:18" ht="15.75">
      <c r="A10" s="936"/>
      <c r="B10" s="936"/>
      <c r="C10" s="936"/>
      <c r="D10" s="936"/>
      <c r="E10" s="936"/>
      <c r="F10" s="936"/>
      <c r="G10" s="936"/>
      <c r="H10" s="933"/>
      <c r="I10" s="933"/>
      <c r="J10" s="933"/>
      <c r="K10" s="933"/>
      <c r="L10" s="933"/>
      <c r="M10" s="933"/>
      <c r="N10" s="27"/>
      <c r="O10" s="27"/>
      <c r="P10" s="27"/>
      <c r="Q10" s="132"/>
    </row>
    <row r="11" spans="1:18" ht="15.75">
      <c r="A11" s="1272" t="s">
        <v>105</v>
      </c>
      <c r="B11" s="1272"/>
      <c r="C11" s="1272"/>
      <c r="D11" s="1272"/>
      <c r="E11" s="1272"/>
      <c r="F11" s="1272"/>
      <c r="G11" s="933"/>
      <c r="H11" s="933"/>
      <c r="I11" s="933"/>
      <c r="J11" s="933"/>
      <c r="K11" s="1243"/>
      <c r="L11" s="1243"/>
      <c r="M11" s="1243"/>
      <c r="N11" s="1243"/>
      <c r="O11" s="1243"/>
      <c r="P11" s="1243"/>
      <c r="Q11" s="132"/>
    </row>
    <row r="12" spans="1:18" ht="15.75">
      <c r="A12" s="1273"/>
      <c r="B12" s="1273"/>
      <c r="C12" s="1273"/>
      <c r="D12" s="1273"/>
      <c r="E12" s="1273"/>
      <c r="F12" s="1273"/>
      <c r="G12" s="937"/>
      <c r="H12" s="933"/>
      <c r="I12" s="933"/>
      <c r="J12" s="933"/>
      <c r="K12" s="933"/>
      <c r="L12" s="933"/>
      <c r="M12" s="933"/>
      <c r="N12" s="1244"/>
      <c r="O12" s="1244"/>
      <c r="P12" s="1244"/>
      <c r="Q12" s="132"/>
    </row>
    <row r="13" spans="1:18" ht="15.75" customHeight="1">
      <c r="A13" s="1272" t="s">
        <v>106</v>
      </c>
      <c r="B13" s="1272"/>
      <c r="C13" s="1272"/>
      <c r="D13" s="1272"/>
      <c r="E13" s="1272"/>
      <c r="F13" s="1272"/>
      <c r="G13" s="933"/>
      <c r="H13" s="933"/>
      <c r="I13" s="933"/>
      <c r="J13" s="933"/>
      <c r="K13" s="1243" t="s">
        <v>17</v>
      </c>
      <c r="L13" s="1243"/>
      <c r="M13" s="1243"/>
      <c r="N13" s="1243"/>
      <c r="O13" s="1243"/>
      <c r="P13" s="1243"/>
      <c r="Q13" s="132"/>
    </row>
    <row r="14" spans="1:18">
      <c r="A14" s="1"/>
      <c r="B14" s="1276"/>
      <c r="C14" s="1276"/>
      <c r="D14" s="1276"/>
      <c r="E14" s="1276"/>
      <c r="F14" s="1276"/>
      <c r="G14" s="1276"/>
      <c r="H14" s="1276"/>
      <c r="I14" s="1276"/>
      <c r="J14" s="1276"/>
      <c r="K14" s="1276"/>
      <c r="L14" s="1276"/>
      <c r="M14" s="1276"/>
      <c r="N14" s="1276"/>
      <c r="O14" s="934"/>
      <c r="P14" s="934"/>
      <c r="Q14" s="133"/>
    </row>
    <row r="15" spans="1:18" ht="31.5">
      <c r="A15" s="134" t="s">
        <v>43</v>
      </c>
      <c r="B15" s="1265" t="s">
        <v>44</v>
      </c>
      <c r="C15" s="1265"/>
      <c r="D15" s="1265"/>
      <c r="E15" s="1265"/>
      <c r="F15" s="1265"/>
      <c r="G15" s="1265"/>
      <c r="H15" s="1265"/>
      <c r="I15" s="1265"/>
      <c r="J15" s="1265"/>
      <c r="K15" s="1265"/>
      <c r="L15" s="1265"/>
      <c r="M15" s="1265"/>
      <c r="N15" s="1266"/>
      <c r="O15" s="135"/>
      <c r="P15" s="136" t="s">
        <v>45</v>
      </c>
      <c r="Q15" s="137"/>
    </row>
    <row r="16" spans="1:18" ht="15.75" customHeight="1">
      <c r="A16" s="138" t="s">
        <v>4</v>
      </c>
      <c r="B16" s="1267" t="s">
        <v>46</v>
      </c>
      <c r="C16" s="1267"/>
      <c r="D16" s="1261"/>
      <c r="E16" s="1261"/>
      <c r="F16" s="1261"/>
      <c r="G16" s="1261"/>
      <c r="H16" s="1261"/>
      <c r="I16" s="1262"/>
      <c r="J16" s="1262"/>
      <c r="K16" s="1262"/>
      <c r="L16" s="1262"/>
      <c r="M16" s="1262"/>
      <c r="N16" s="1262"/>
      <c r="O16" s="139"/>
      <c r="P16" s="153">
        <f>(N17+N18)/1000</f>
        <v>0</v>
      </c>
      <c r="Q16" s="140"/>
      <c r="R16" s="41"/>
    </row>
    <row r="17" spans="1:20" s="150" customFormat="1">
      <c r="A17" s="141"/>
      <c r="B17" s="1278" t="s">
        <v>47</v>
      </c>
      <c r="C17" s="1279"/>
      <c r="D17" s="1279"/>
      <c r="E17" s="940"/>
      <c r="F17" s="142">
        <v>0</v>
      </c>
      <c r="G17" s="142"/>
      <c r="H17" s="143" t="s">
        <v>48</v>
      </c>
      <c r="I17" s="143"/>
      <c r="J17" s="143"/>
      <c r="K17" s="142">
        <v>151</v>
      </c>
      <c r="L17" s="143" t="s">
        <v>49</v>
      </c>
      <c r="M17" s="144" t="s">
        <v>11</v>
      </c>
      <c r="N17" s="145">
        <f>(F17*K17)</f>
        <v>0</v>
      </c>
      <c r="O17" s="146" t="s">
        <v>50</v>
      </c>
      <c r="P17" s="147"/>
      <c r="Q17" s="148"/>
      <c r="R17" s="149"/>
    </row>
    <row r="18" spans="1:20" s="150" customFormat="1" ht="12.75" customHeight="1">
      <c r="A18" s="151"/>
      <c r="B18" s="1278" t="s">
        <v>51</v>
      </c>
      <c r="C18" s="1279"/>
      <c r="D18" s="1279"/>
      <c r="E18" s="940"/>
      <c r="F18" s="142">
        <v>0</v>
      </c>
      <c r="G18" s="142"/>
      <c r="H18" s="143" t="s">
        <v>48</v>
      </c>
      <c r="I18" s="143"/>
      <c r="J18" s="143"/>
      <c r="K18" s="142">
        <v>151</v>
      </c>
      <c r="L18" s="143" t="s">
        <v>49</v>
      </c>
      <c r="M18" s="144" t="s">
        <v>11</v>
      </c>
      <c r="N18" s="145">
        <f>(F18*K18)</f>
        <v>0</v>
      </c>
      <c r="O18" s="146" t="s">
        <v>50</v>
      </c>
      <c r="P18" s="152"/>
      <c r="Q18" s="148"/>
      <c r="R18" s="149"/>
    </row>
    <row r="19" spans="1:20" ht="15.75" customHeight="1">
      <c r="A19" s="138"/>
      <c r="B19" s="1267" t="s">
        <v>52</v>
      </c>
      <c r="C19" s="1267"/>
      <c r="D19" s="1261"/>
      <c r="E19" s="1261"/>
      <c r="F19" s="1261"/>
      <c r="G19" s="1261"/>
      <c r="H19" s="1261"/>
      <c r="I19" s="1262"/>
      <c r="J19" s="1262"/>
      <c r="K19" s="1262"/>
      <c r="L19" s="1262"/>
      <c r="M19" s="1262"/>
      <c r="N19" s="1262"/>
      <c r="O19" s="139"/>
      <c r="P19" s="153">
        <f>N21*N22*N24/1000</f>
        <v>0</v>
      </c>
      <c r="Q19" s="140"/>
      <c r="R19" s="154">
        <f>R29*0.77</f>
        <v>17.170000000000002</v>
      </c>
    </row>
    <row r="20" spans="1:20" s="150" customFormat="1" ht="12.75" customHeight="1">
      <c r="A20" s="141"/>
      <c r="B20" s="1263" t="s">
        <v>53</v>
      </c>
      <c r="C20" s="1264"/>
      <c r="D20" s="1264"/>
      <c r="E20" s="1264"/>
      <c r="F20" s="1264"/>
      <c r="G20" s="1264"/>
      <c r="H20" s="1264"/>
      <c r="I20" s="1264"/>
      <c r="J20" s="1264"/>
      <c r="K20" s="1264"/>
      <c r="L20" s="1264"/>
      <c r="M20" s="155"/>
      <c r="N20" s="156">
        <v>0</v>
      </c>
      <c r="O20" s="156" t="s">
        <v>50</v>
      </c>
      <c r="P20" s="157"/>
      <c r="Q20" s="148"/>
      <c r="R20" s="149"/>
    </row>
    <row r="21" spans="1:20" s="150" customFormat="1" ht="12.75" customHeight="1">
      <c r="A21" s="141"/>
      <c r="B21" s="1263" t="s">
        <v>54</v>
      </c>
      <c r="C21" s="1264"/>
      <c r="D21" s="1264"/>
      <c r="E21" s="1264"/>
      <c r="F21" s="1264"/>
      <c r="G21" s="1264"/>
      <c r="H21" s="1264"/>
      <c r="I21" s="1264"/>
      <c r="J21" s="1264"/>
      <c r="K21" s="1264"/>
      <c r="L21" s="1264"/>
      <c r="M21" s="155"/>
      <c r="N21" s="156">
        <f>N20/21</f>
        <v>0</v>
      </c>
      <c r="O21" s="156" t="s">
        <v>50</v>
      </c>
      <c r="P21" s="157"/>
      <c r="Q21" s="148"/>
      <c r="R21" s="149"/>
    </row>
    <row r="22" spans="1:20" s="150" customFormat="1" ht="12.75" customHeight="1">
      <c r="A22" s="141"/>
      <c r="B22" s="1263" t="s">
        <v>55</v>
      </c>
      <c r="C22" s="1264"/>
      <c r="D22" s="1264"/>
      <c r="E22" s="1264"/>
      <c r="F22" s="1264"/>
      <c r="G22" s="1264"/>
      <c r="H22" s="1264"/>
      <c r="I22" s="1264"/>
      <c r="J22" s="1264"/>
      <c r="K22" s="1264"/>
      <c r="L22" s="1264"/>
      <c r="M22" s="155"/>
      <c r="N22" s="221">
        <f>'[3]расш 4'!E12/'[3]расш 4'!C12</f>
        <v>10.67</v>
      </c>
      <c r="O22" s="156" t="s">
        <v>56</v>
      </c>
      <c r="P22" s="157"/>
      <c r="Q22" s="148"/>
      <c r="R22" s="149"/>
    </row>
    <row r="23" spans="1:20" s="150" customFormat="1">
      <c r="A23" s="141"/>
      <c r="B23" s="938"/>
      <c r="C23" s="939"/>
      <c r="D23" s="939"/>
      <c r="E23" s="939"/>
      <c r="F23" s="939"/>
      <c r="G23" s="939"/>
      <c r="H23" s="939"/>
      <c r="I23" s="939"/>
      <c r="J23" s="939"/>
      <c r="K23" s="939"/>
      <c r="L23" s="939"/>
      <c r="M23" s="155"/>
      <c r="N23" s="221"/>
      <c r="O23" s="156"/>
      <c r="P23" s="157"/>
      <c r="Q23" s="148"/>
      <c r="R23" s="149"/>
    </row>
    <row r="24" spans="1:20" s="150" customFormat="1" ht="12.75" customHeight="1">
      <c r="A24" s="141"/>
      <c r="B24" s="1263" t="s">
        <v>57</v>
      </c>
      <c r="C24" s="1264"/>
      <c r="D24" s="1264"/>
      <c r="E24" s="1264"/>
      <c r="F24" s="1264"/>
      <c r="G24" s="1264"/>
      <c r="H24" s="1264"/>
      <c r="I24" s="1264"/>
      <c r="J24" s="1264"/>
      <c r="K24" s="1264"/>
      <c r="L24" s="1264"/>
      <c r="M24" s="155"/>
      <c r="N24" s="158">
        <v>2</v>
      </c>
      <c r="O24" s="156" t="s">
        <v>58</v>
      </c>
      <c r="P24" s="157"/>
      <c r="Q24" s="148"/>
      <c r="R24" s="149"/>
    </row>
    <row r="25" spans="1:20" ht="16.5" thickBot="1">
      <c r="A25" s="159" t="s">
        <v>5</v>
      </c>
      <c r="B25" s="1270" t="s">
        <v>885</v>
      </c>
      <c r="C25" s="1271"/>
      <c r="D25" s="1271"/>
      <c r="E25" s="1271"/>
      <c r="F25" s="1271"/>
      <c r="G25" s="1271"/>
      <c r="H25" s="1271"/>
      <c r="I25" s="1271"/>
      <c r="J25" s="1271"/>
      <c r="K25" s="1271"/>
      <c r="L25" s="1271"/>
      <c r="M25" s="1271"/>
      <c r="N25" s="1271"/>
      <c r="O25" s="139"/>
      <c r="P25" s="160">
        <f>P19*0.302</f>
        <v>0</v>
      </c>
      <c r="Q25" s="140"/>
      <c r="R25" s="41"/>
    </row>
    <row r="26" spans="1:20" ht="17.25" thickTop="1" thickBot="1">
      <c r="A26" s="159" t="s">
        <v>6</v>
      </c>
      <c r="B26" s="1270" t="s">
        <v>61</v>
      </c>
      <c r="C26" s="1271"/>
      <c r="D26" s="1271"/>
      <c r="E26" s="1271"/>
      <c r="F26" s="1271"/>
      <c r="G26" s="1271"/>
      <c r="H26" s="1271"/>
      <c r="I26" s="1271"/>
      <c r="J26" s="1271"/>
      <c r="K26" s="1271"/>
      <c r="L26" s="1271"/>
      <c r="M26" s="1271"/>
      <c r="N26" s="1271"/>
      <c r="O26" s="139"/>
      <c r="P26" s="153">
        <f>(N28+N29)/1000</f>
        <v>0</v>
      </c>
      <c r="Q26" s="140"/>
      <c r="R26" s="41"/>
      <c r="S26" s="161">
        <f>N21*N22*N24/1000</f>
        <v>0</v>
      </c>
    </row>
    <row r="27" spans="1:20" s="928" customFormat="1" ht="27" customHeight="1" thickTop="1">
      <c r="A27" s="162"/>
      <c r="B27" s="1263" t="s">
        <v>62</v>
      </c>
      <c r="C27" s="1264"/>
      <c r="D27" s="1264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4"/>
      <c r="Q27" s="140"/>
      <c r="R27" s="133"/>
    </row>
    <row r="28" spans="1:20" s="150" customFormat="1" ht="39" customHeight="1">
      <c r="A28" s="856"/>
      <c r="B28" s="1263" t="s">
        <v>63</v>
      </c>
      <c r="C28" s="1264"/>
      <c r="D28" s="1264"/>
      <c r="E28" s="165">
        <f>N24</f>
        <v>2</v>
      </c>
      <c r="F28" s="166" t="s">
        <v>64</v>
      </c>
      <c r="G28" s="167" t="s">
        <v>59</v>
      </c>
      <c r="H28" s="167">
        <v>0</v>
      </c>
      <c r="I28" s="155" t="s">
        <v>50</v>
      </c>
      <c r="J28" s="155" t="s">
        <v>59</v>
      </c>
      <c r="K28" s="166">
        <f>N22</f>
        <v>10.67</v>
      </c>
      <c r="L28" s="155" t="s">
        <v>56</v>
      </c>
      <c r="M28" s="155" t="s">
        <v>60</v>
      </c>
      <c r="N28" s="166">
        <f>E28*H28*K28</f>
        <v>0</v>
      </c>
      <c r="O28" s="156" t="s">
        <v>50</v>
      </c>
      <c r="P28" s="157"/>
      <c r="Q28" s="148"/>
      <c r="R28" s="149"/>
    </row>
    <row r="29" spans="1:20" ht="46.5" customHeight="1">
      <c r="A29" s="141"/>
      <c r="B29" s="1263" t="s">
        <v>94</v>
      </c>
      <c r="C29" s="1264"/>
      <c r="D29" s="1264"/>
      <c r="E29" s="939">
        <v>1</v>
      </c>
      <c r="F29" s="166" t="s">
        <v>64</v>
      </c>
      <c r="G29" s="167" t="s">
        <v>59</v>
      </c>
      <c r="H29" s="219">
        <v>0</v>
      </c>
      <c r="I29" s="155" t="s">
        <v>50</v>
      </c>
      <c r="J29" s="155" t="s">
        <v>59</v>
      </c>
      <c r="K29" s="220">
        <v>0.5</v>
      </c>
      <c r="L29" s="155" t="s">
        <v>56</v>
      </c>
      <c r="M29" s="155" t="s">
        <v>60</v>
      </c>
      <c r="N29" s="166">
        <f>E29*H29*K29</f>
        <v>0</v>
      </c>
      <c r="O29" s="156" t="s">
        <v>50</v>
      </c>
      <c r="P29" s="157"/>
      <c r="Q29" s="171"/>
      <c r="R29" s="172">
        <f>R31/1.2</f>
        <v>22.3</v>
      </c>
      <c r="S29" s="173"/>
      <c r="T29" s="4"/>
    </row>
    <row r="30" spans="1:20" ht="15.75">
      <c r="A30" s="159"/>
      <c r="B30" s="1259" t="s">
        <v>66</v>
      </c>
      <c r="C30" s="1259"/>
      <c r="D30" s="1259"/>
      <c r="E30" s="1259"/>
      <c r="F30" s="1259"/>
      <c r="G30" s="1259"/>
      <c r="H30" s="1259"/>
      <c r="I30" s="1260"/>
      <c r="J30" s="1260"/>
      <c r="K30" s="1260"/>
      <c r="L30" s="1260"/>
      <c r="M30" s="1260"/>
      <c r="N30" s="1260"/>
      <c r="O30" s="169"/>
      <c r="P30" s="170">
        <f>SUM(P16:P28)</f>
        <v>0</v>
      </c>
      <c r="Q30" s="140"/>
      <c r="R30" s="175"/>
      <c r="S30" s="176"/>
    </row>
    <row r="31" spans="1:20" ht="15.75">
      <c r="A31" s="159" t="s">
        <v>7</v>
      </c>
      <c r="B31" s="1261" t="s">
        <v>886</v>
      </c>
      <c r="C31" s="1261"/>
      <c r="D31" s="1261"/>
      <c r="E31" s="1261"/>
      <c r="F31" s="1261"/>
      <c r="G31" s="1261"/>
      <c r="H31" s="1261"/>
      <c r="I31" s="1262"/>
      <c r="J31" s="1262"/>
      <c r="K31" s="1262"/>
      <c r="L31" s="1262"/>
      <c r="M31" s="1262"/>
      <c r="N31" s="1262"/>
      <c r="O31" s="139"/>
      <c r="P31" s="174">
        <f>P30*0.2</f>
        <v>0</v>
      </c>
      <c r="Q31" s="171"/>
      <c r="R31" s="180">
        <f>R35/1.12</f>
        <v>26.8</v>
      </c>
      <c r="S31" s="181"/>
    </row>
    <row r="32" spans="1:20" ht="15.75">
      <c r="A32" s="177"/>
      <c r="B32" s="1259" t="s">
        <v>67</v>
      </c>
      <c r="C32" s="1259"/>
      <c r="D32" s="1259"/>
      <c r="E32" s="1259"/>
      <c r="F32" s="1259"/>
      <c r="G32" s="1259"/>
      <c r="H32" s="1259"/>
      <c r="I32" s="1260"/>
      <c r="J32" s="1260"/>
      <c r="K32" s="1260"/>
      <c r="L32" s="1260"/>
      <c r="M32" s="1260"/>
      <c r="N32" s="1260"/>
      <c r="O32" s="178"/>
      <c r="P32" s="179">
        <f>SUM(P30:P31)</f>
        <v>0</v>
      </c>
      <c r="Q32" s="140"/>
      <c r="R32" s="180"/>
      <c r="S32" s="181"/>
    </row>
    <row r="33" spans="1:20" ht="15.75">
      <c r="A33" s="177"/>
      <c r="B33" s="942"/>
      <c r="C33" s="942"/>
      <c r="D33" s="942"/>
      <c r="E33" s="942"/>
      <c r="F33" s="942"/>
      <c r="G33" s="942"/>
      <c r="H33" s="942"/>
      <c r="I33" s="943"/>
      <c r="J33" s="943"/>
      <c r="K33" s="943"/>
      <c r="L33" s="943"/>
      <c r="M33" s="943"/>
      <c r="N33" s="943"/>
      <c r="O33" s="178"/>
      <c r="P33" s="179"/>
      <c r="Q33" s="140"/>
      <c r="R33" s="180"/>
      <c r="S33" s="181"/>
    </row>
    <row r="34" spans="1:20" ht="15.75">
      <c r="A34" s="177"/>
      <c r="B34" s="942"/>
      <c r="C34" s="942"/>
      <c r="D34" s="942"/>
      <c r="E34" s="942"/>
      <c r="F34" s="942"/>
      <c r="G34" s="942"/>
      <c r="H34" s="942"/>
      <c r="I34" s="943"/>
      <c r="J34" s="943"/>
      <c r="K34" s="943"/>
      <c r="L34" s="943"/>
      <c r="M34" s="943"/>
      <c r="N34" s="943"/>
      <c r="O34" s="178"/>
      <c r="P34" s="179"/>
      <c r="Q34" s="140"/>
      <c r="R34" s="180"/>
      <c r="S34" s="181"/>
    </row>
    <row r="35" spans="1:20" ht="15.75">
      <c r="A35" s="159" t="s">
        <v>8</v>
      </c>
      <c r="B35" s="1261" t="s">
        <v>887</v>
      </c>
      <c r="C35" s="1261"/>
      <c r="D35" s="1261"/>
      <c r="E35" s="1261"/>
      <c r="F35" s="1261"/>
      <c r="G35" s="1261"/>
      <c r="H35" s="1261"/>
      <c r="I35" s="1262"/>
      <c r="J35" s="1262"/>
      <c r="K35" s="1262"/>
      <c r="L35" s="1262"/>
      <c r="M35" s="1262"/>
      <c r="N35" s="1262"/>
      <c r="O35" s="139"/>
      <c r="P35" s="174">
        <f>P32*0.12</f>
        <v>0</v>
      </c>
      <c r="Q35" s="171"/>
      <c r="R35" s="180">
        <v>30</v>
      </c>
      <c r="S35" s="181"/>
    </row>
    <row r="36" spans="1:20" ht="15.75">
      <c r="A36" s="182"/>
      <c r="B36" s="1259" t="s">
        <v>68</v>
      </c>
      <c r="C36" s="1259"/>
      <c r="D36" s="1259"/>
      <c r="E36" s="1259"/>
      <c r="F36" s="1259"/>
      <c r="G36" s="1259"/>
      <c r="H36" s="1259"/>
      <c r="I36" s="1260"/>
      <c r="J36" s="1260"/>
      <c r="K36" s="1260"/>
      <c r="L36" s="1260"/>
      <c r="M36" s="1260"/>
      <c r="N36" s="1260"/>
      <c r="O36" s="178"/>
      <c r="P36" s="183">
        <f>SUM(P32:P35)</f>
        <v>0</v>
      </c>
      <c r="Q36" s="171"/>
      <c r="R36" s="180"/>
      <c r="S36" s="181"/>
    </row>
    <row r="37" spans="1:20" s="16" customFormat="1" ht="15.75">
      <c r="A37" s="184"/>
      <c r="B37" s="185"/>
      <c r="C37" s="185"/>
      <c r="D37" s="185"/>
      <c r="E37" s="185"/>
      <c r="F37" s="185"/>
      <c r="G37" s="185"/>
      <c r="H37" s="185"/>
      <c r="I37" s="185"/>
      <c r="J37" s="185"/>
      <c r="K37" s="185"/>
      <c r="L37" s="185"/>
      <c r="M37" s="185"/>
      <c r="N37" s="185"/>
      <c r="O37" s="185"/>
      <c r="P37" s="186"/>
    </row>
    <row r="38" spans="1:20" s="16" customFormat="1" ht="15.75" customHeight="1">
      <c r="A38" s="1082" t="s">
        <v>28</v>
      </c>
      <c r="B38" s="1082"/>
      <c r="C38" s="1082"/>
      <c r="D38" s="1082"/>
      <c r="E38" s="1082"/>
      <c r="F38" s="1082"/>
    </row>
    <row r="39" spans="1:20" s="16" customFormat="1" ht="15.75">
      <c r="A39" s="927"/>
      <c r="B39" s="927"/>
      <c r="C39" s="927"/>
      <c r="D39" s="927"/>
      <c r="E39" s="927"/>
    </row>
    <row r="40" spans="1:20" s="16" customFormat="1" ht="15.75">
      <c r="A40" s="62"/>
      <c r="B40" s="61" t="s">
        <v>729</v>
      </c>
      <c r="C40" s="60"/>
      <c r="D40" s="949"/>
      <c r="E40" s="187"/>
      <c r="O40" s="931"/>
    </row>
    <row r="41" spans="1:20" ht="15.75">
      <c r="A41" s="62"/>
      <c r="B41" s="54"/>
      <c r="C41" s="188"/>
      <c r="D41" s="189"/>
      <c r="E41" s="190"/>
      <c r="F41" s="16"/>
      <c r="G41" s="16"/>
      <c r="H41" s="16"/>
      <c r="I41" s="16"/>
      <c r="J41" s="16"/>
      <c r="K41" s="16"/>
      <c r="L41" s="16"/>
      <c r="M41" s="16"/>
      <c r="N41" s="16"/>
      <c r="O41" s="931"/>
      <c r="P41" s="16"/>
      <c r="Q41" s="41"/>
      <c r="R41" s="1258"/>
      <c r="S41" s="1258"/>
      <c r="T41" s="1258"/>
    </row>
    <row r="42" spans="1:20" s="16" customFormat="1" ht="15.75">
      <c r="A42" s="51"/>
      <c r="B42" s="51" t="s">
        <v>730</v>
      </c>
      <c r="C42" s="51"/>
      <c r="D42" s="51"/>
      <c r="E42" s="51"/>
      <c r="F42" s="51"/>
      <c r="G42" s="56"/>
      <c r="H42" s="56"/>
      <c r="I42" s="56"/>
      <c r="J42" s="932"/>
      <c r="K42" s="932"/>
      <c r="L42" s="932"/>
      <c r="M42" s="932"/>
      <c r="N42" s="932"/>
      <c r="O42" s="932" t="s">
        <v>577</v>
      </c>
      <c r="P42" s="941"/>
    </row>
    <row r="43" spans="1:20" s="53" customFormat="1" ht="15.75">
      <c r="A43" s="931"/>
      <c r="B43" s="61"/>
      <c r="C43" s="60"/>
      <c r="D43" s="949"/>
      <c r="E43" s="187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</row>
    <row r="44" spans="1:20" ht="15.75">
      <c r="A44" s="51"/>
      <c r="B44" s="51"/>
      <c r="C44" s="51"/>
      <c r="D44" s="53"/>
      <c r="E44" s="51"/>
      <c r="F44" s="53"/>
      <c r="G44" s="53"/>
      <c r="H44" s="53"/>
      <c r="I44" s="53"/>
      <c r="J44" s="53"/>
      <c r="K44" s="53"/>
      <c r="L44" s="53"/>
      <c r="M44" s="53"/>
      <c r="N44" s="53"/>
      <c r="P44" s="53"/>
      <c r="Q44" s="41"/>
      <c r="R44" s="1277"/>
      <c r="S44" s="1277"/>
      <c r="T44" s="1277"/>
    </row>
    <row r="45" spans="1:20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41"/>
    </row>
    <row r="46" spans="1:20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41"/>
    </row>
    <row r="47" spans="1:20" ht="15.75">
      <c r="Q47" s="193"/>
      <c r="R47" s="193"/>
    </row>
    <row r="48" spans="1:20">
      <c r="Q48" s="41"/>
    </row>
    <row r="49" spans="1:17">
      <c r="Q49" s="41"/>
    </row>
    <row r="50" spans="1:17">
      <c r="Q50" s="41"/>
    </row>
    <row r="51" spans="1:17">
      <c r="Q51" s="41"/>
    </row>
    <row r="52" spans="1:17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</row>
  </sheetData>
  <mergeCells count="44">
    <mergeCell ref="A8:F8"/>
    <mergeCell ref="K8:P8"/>
    <mergeCell ref="A2:F2"/>
    <mergeCell ref="H2:P2"/>
    <mergeCell ref="A3:F3"/>
    <mergeCell ref="H3:P3"/>
    <mergeCell ref="A4:F4"/>
    <mergeCell ref="H4:P4"/>
    <mergeCell ref="A5:F5"/>
    <mergeCell ref="H5:P5"/>
    <mergeCell ref="A6:P6"/>
    <mergeCell ref="A7:F7"/>
    <mergeCell ref="H7:P7"/>
    <mergeCell ref="B17:D17"/>
    <mergeCell ref="A9:F9"/>
    <mergeCell ref="K9:P9"/>
    <mergeCell ref="A11:F11"/>
    <mergeCell ref="K11:P11"/>
    <mergeCell ref="A12:F12"/>
    <mergeCell ref="N12:P12"/>
    <mergeCell ref="A13:F13"/>
    <mergeCell ref="K13:P13"/>
    <mergeCell ref="B14:N14"/>
    <mergeCell ref="B15:N15"/>
    <mergeCell ref="B16:N16"/>
    <mergeCell ref="B30:N30"/>
    <mergeCell ref="B18:D18"/>
    <mergeCell ref="B19:N19"/>
    <mergeCell ref="B20:L20"/>
    <mergeCell ref="B21:L21"/>
    <mergeCell ref="B22:L22"/>
    <mergeCell ref="B24:L24"/>
    <mergeCell ref="B25:N25"/>
    <mergeCell ref="B26:N26"/>
    <mergeCell ref="B27:D27"/>
    <mergeCell ref="B28:D28"/>
    <mergeCell ref="B29:D29"/>
    <mergeCell ref="R44:T44"/>
    <mergeCell ref="B31:N31"/>
    <mergeCell ref="B32:N32"/>
    <mergeCell ref="B35:N35"/>
    <mergeCell ref="B36:N36"/>
    <mergeCell ref="A38:F38"/>
    <mergeCell ref="R41:T41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7"/>
  <sheetViews>
    <sheetView view="pageBreakPreview" topLeftCell="A29" zoomScaleNormal="100" zoomScaleSheetLayoutView="100" workbookViewId="0">
      <selection activeCell="J25" sqref="J25"/>
    </sheetView>
  </sheetViews>
  <sheetFormatPr defaultRowHeight="12.75"/>
  <cols>
    <col min="1" max="1" width="3.42578125" customWidth="1"/>
    <col min="3" max="3" width="11.42578125" bestFit="1" customWidth="1"/>
    <col min="4" max="4" width="11.42578125" customWidth="1"/>
    <col min="5" max="5" width="13.140625" customWidth="1"/>
    <col min="6" max="7" width="7.5703125" customWidth="1"/>
    <col min="8" max="8" width="10.28515625" customWidth="1"/>
    <col min="9" max="9" width="19" customWidth="1"/>
    <col min="10" max="10" width="8.140625" customWidth="1"/>
    <col min="11" max="11" width="1.7109375" customWidth="1"/>
    <col min="12" max="12" width="8.140625" customWidth="1"/>
    <col min="13" max="13" width="2.7109375" customWidth="1"/>
    <col min="14" max="14" width="6.5703125" customWidth="1"/>
    <col min="15" max="15" width="9.7109375" customWidth="1"/>
  </cols>
  <sheetData>
    <row r="1" spans="1:15" hidden="1">
      <c r="A1" s="740"/>
      <c r="L1" t="s">
        <v>662</v>
      </c>
    </row>
    <row r="2" spans="1:15" ht="1.5" customHeight="1">
      <c r="A2" s="740"/>
    </row>
    <row r="3" spans="1:15">
      <c r="A3" s="1075" t="s">
        <v>602</v>
      </c>
      <c r="B3" s="1075"/>
      <c r="C3" s="1075"/>
      <c r="D3" s="1075"/>
      <c r="E3" s="1075"/>
      <c r="F3" s="1075"/>
      <c r="G3" s="1075"/>
      <c r="H3" s="1075"/>
      <c r="I3" s="1075"/>
      <c r="J3" s="1075"/>
      <c r="K3" s="1075"/>
      <c r="L3" s="1075"/>
      <c r="M3" s="1075"/>
      <c r="N3" s="1075"/>
      <c r="O3" s="1075"/>
    </row>
    <row r="4" spans="1:15">
      <c r="A4" s="1075" t="s">
        <v>603</v>
      </c>
      <c r="B4" s="1075"/>
      <c r="C4" s="1075"/>
      <c r="D4" s="1075"/>
      <c r="E4" s="1075"/>
      <c r="F4" s="1075"/>
      <c r="G4" s="1075"/>
      <c r="H4" s="1075"/>
      <c r="I4" s="1075"/>
      <c r="J4" s="1075"/>
      <c r="K4" s="1075"/>
      <c r="L4" s="1075"/>
      <c r="M4" s="1075"/>
      <c r="N4" s="1075"/>
      <c r="O4" s="1075"/>
    </row>
    <row r="5" spans="1:15" ht="4.5" customHeight="1"/>
    <row r="6" spans="1:15">
      <c r="A6" s="317" t="s">
        <v>265</v>
      </c>
      <c r="H6" s="1071"/>
      <c r="I6" s="1071"/>
      <c r="J6" s="1071"/>
      <c r="K6" s="1071"/>
      <c r="L6" s="1071"/>
      <c r="M6" s="1071"/>
      <c r="N6" s="1071"/>
      <c r="O6" s="1071"/>
    </row>
    <row r="7" spans="1:15" ht="15" customHeight="1">
      <c r="A7" t="s">
        <v>266</v>
      </c>
      <c r="H7" s="1071"/>
      <c r="I7" s="1071"/>
      <c r="J7" s="1071"/>
      <c r="K7" s="1071"/>
      <c r="L7" s="1071"/>
      <c r="M7" s="1071"/>
      <c r="N7" s="1071"/>
      <c r="O7" s="1071"/>
    </row>
    <row r="8" spans="1:15" ht="5.25" customHeight="1">
      <c r="H8" s="1071"/>
      <c r="I8" s="1071"/>
      <c r="J8" s="1071"/>
      <c r="K8" s="1071"/>
      <c r="L8" s="1071"/>
      <c r="M8" s="1071"/>
      <c r="N8" s="1071"/>
      <c r="O8" s="1071"/>
    </row>
    <row r="9" spans="1:15" ht="5.25" customHeight="1">
      <c r="H9" s="316"/>
      <c r="I9" s="318"/>
      <c r="J9" s="318"/>
      <c r="K9" s="318"/>
      <c r="L9" s="318"/>
      <c r="M9" s="318"/>
      <c r="N9" s="318"/>
      <c r="O9" s="318"/>
    </row>
    <row r="10" spans="1:15" ht="12.75" customHeight="1">
      <c r="A10" t="s">
        <v>103</v>
      </c>
      <c r="H10" s="316"/>
      <c r="I10" s="316"/>
      <c r="J10" s="316"/>
      <c r="K10" s="316"/>
      <c r="L10" s="316"/>
      <c r="M10" s="316"/>
      <c r="N10" s="316"/>
      <c r="O10" s="316"/>
    </row>
    <row r="11" spans="1:15" ht="10.5" customHeight="1">
      <c r="A11" t="s">
        <v>267</v>
      </c>
      <c r="H11" s="316"/>
      <c r="I11" s="316"/>
      <c r="J11" s="316"/>
      <c r="K11" s="316"/>
      <c r="L11" s="316"/>
      <c r="M11" s="316"/>
      <c r="N11" s="316"/>
      <c r="O11" s="316"/>
    </row>
    <row r="12" spans="1:15" ht="3.75" customHeight="1">
      <c r="H12" s="316"/>
      <c r="I12" s="316"/>
      <c r="J12" s="316"/>
      <c r="K12" s="316"/>
      <c r="L12" s="316"/>
      <c r="M12" s="316"/>
      <c r="N12" s="316"/>
      <c r="O12" s="316"/>
    </row>
    <row r="13" spans="1:15">
      <c r="A13" t="s">
        <v>35</v>
      </c>
      <c r="H13" s="319" t="s">
        <v>17</v>
      </c>
      <c r="I13" s="316"/>
      <c r="J13" s="316"/>
      <c r="K13" s="316"/>
      <c r="L13" s="316"/>
      <c r="M13" s="316"/>
      <c r="N13" s="316"/>
      <c r="O13" s="316"/>
    </row>
    <row r="14" spans="1:15">
      <c r="A14" t="s">
        <v>268</v>
      </c>
    </row>
    <row r="15" spans="1:15">
      <c r="A15" s="320"/>
      <c r="B15" s="320"/>
      <c r="C15" s="321"/>
      <c r="D15" s="321"/>
      <c r="E15" s="322"/>
      <c r="F15" s="741" t="s">
        <v>556</v>
      </c>
      <c r="G15" s="742" t="s">
        <v>558</v>
      </c>
      <c r="H15" s="320" t="s">
        <v>486</v>
      </c>
      <c r="I15" s="322"/>
      <c r="J15" s="320" t="s">
        <v>269</v>
      </c>
      <c r="K15" s="321"/>
      <c r="L15" s="321"/>
      <c r="M15" s="321"/>
      <c r="N15" s="322"/>
      <c r="O15" s="322" t="s">
        <v>104</v>
      </c>
    </row>
    <row r="16" spans="1:15">
      <c r="A16" s="324" t="s">
        <v>270</v>
      </c>
      <c r="B16" s="324" t="s">
        <v>260</v>
      </c>
      <c r="C16" s="4"/>
      <c r="D16" s="4"/>
      <c r="E16" s="325"/>
      <c r="F16" s="384" t="s">
        <v>557</v>
      </c>
      <c r="G16" s="743" t="s">
        <v>559</v>
      </c>
      <c r="H16" s="324" t="s">
        <v>271</v>
      </c>
      <c r="I16" s="325"/>
      <c r="J16" s="324" t="s">
        <v>272</v>
      </c>
      <c r="K16" s="4"/>
      <c r="L16" s="4"/>
      <c r="M16" s="4"/>
      <c r="N16" s="325"/>
      <c r="O16" s="325" t="s">
        <v>273</v>
      </c>
    </row>
    <row r="17" spans="1:15">
      <c r="A17" s="324" t="s">
        <v>274</v>
      </c>
      <c r="B17" s="324"/>
      <c r="C17" s="4"/>
      <c r="D17" s="4"/>
      <c r="E17" s="325"/>
      <c r="F17" s="323"/>
      <c r="G17" s="4"/>
      <c r="H17" s="324" t="s">
        <v>275</v>
      </c>
      <c r="I17" s="325"/>
      <c r="J17" s="324" t="s">
        <v>276</v>
      </c>
      <c r="K17" s="4"/>
      <c r="L17" s="4"/>
      <c r="M17" s="4"/>
      <c r="N17" s="325"/>
      <c r="O17" s="325"/>
    </row>
    <row r="18" spans="1:15">
      <c r="A18" s="327"/>
      <c r="B18" s="327"/>
      <c r="C18" s="328"/>
      <c r="D18" s="328"/>
      <c r="E18" s="329"/>
      <c r="F18" s="326"/>
      <c r="G18" s="328"/>
      <c r="H18" s="327" t="s">
        <v>277</v>
      </c>
      <c r="I18" s="329"/>
      <c r="J18" s="327" t="s">
        <v>278</v>
      </c>
      <c r="K18" s="328"/>
      <c r="L18" s="328"/>
      <c r="M18" s="328"/>
      <c r="N18" s="329"/>
      <c r="O18" s="329"/>
    </row>
    <row r="19" spans="1:15">
      <c r="A19" s="567">
        <v>1</v>
      </c>
      <c r="B19" s="744"/>
      <c r="C19" s="745">
        <v>2</v>
      </c>
      <c r="D19" s="745"/>
      <c r="E19" s="746"/>
      <c r="F19" s="330">
        <v>3</v>
      </c>
      <c r="G19" s="330">
        <v>4</v>
      </c>
      <c r="H19" s="745">
        <v>4</v>
      </c>
      <c r="I19" s="746"/>
      <c r="J19" s="744"/>
      <c r="K19" s="745"/>
      <c r="L19" s="745">
        <v>5</v>
      </c>
      <c r="M19" s="745"/>
      <c r="N19" s="746"/>
      <c r="O19" s="331">
        <v>6</v>
      </c>
    </row>
    <row r="20" spans="1:15">
      <c r="A20" s="332" t="s">
        <v>279</v>
      </c>
      <c r="B20" s="333"/>
      <c r="C20" s="333"/>
      <c r="D20" s="333"/>
      <c r="E20" s="333"/>
      <c r="F20" s="333"/>
      <c r="G20" s="333"/>
      <c r="H20" s="333"/>
      <c r="I20" s="333"/>
      <c r="J20" s="333"/>
      <c r="K20" s="333"/>
      <c r="L20" s="333"/>
      <c r="M20" s="333"/>
      <c r="N20" s="333"/>
      <c r="O20" s="334"/>
    </row>
    <row r="21" spans="1:15">
      <c r="A21" s="333"/>
      <c r="B21" s="333"/>
      <c r="C21" s="333"/>
      <c r="D21" s="333"/>
      <c r="E21" s="335" t="s">
        <v>280</v>
      </c>
      <c r="F21" s="335"/>
      <c r="G21" s="335"/>
      <c r="H21" s="333"/>
      <c r="I21" s="333"/>
      <c r="J21" s="333"/>
      <c r="K21" s="333"/>
      <c r="L21" s="333"/>
      <c r="M21" s="333"/>
      <c r="N21" s="333"/>
      <c r="O21" s="336"/>
    </row>
    <row r="22" spans="1:15" s="748" customFormat="1">
      <c r="A22" s="337">
        <v>1</v>
      </c>
      <c r="B22" s="338" t="s">
        <v>281</v>
      </c>
      <c r="C22" s="339"/>
      <c r="D22" s="339"/>
      <c r="E22" s="340"/>
      <c r="F22" s="342"/>
      <c r="G22" s="339"/>
      <c r="H22" s="747" t="s">
        <v>672</v>
      </c>
      <c r="I22" s="340"/>
      <c r="J22" s="341"/>
      <c r="K22" s="339"/>
      <c r="L22" s="339"/>
      <c r="M22" s="339"/>
      <c r="N22" s="602"/>
      <c r="O22" s="342"/>
    </row>
    <row r="23" spans="1:15" s="748" customFormat="1">
      <c r="A23" s="343"/>
      <c r="B23" s="344" t="s">
        <v>282</v>
      </c>
      <c r="C23" s="345"/>
      <c r="D23" s="345"/>
      <c r="E23" s="346"/>
      <c r="F23" s="348"/>
      <c r="G23" s="345"/>
      <c r="H23" s="1069" t="s">
        <v>674</v>
      </c>
      <c r="I23" s="1076"/>
      <c r="J23" s="347">
        <v>6426</v>
      </c>
      <c r="K23" s="345" t="s">
        <v>283</v>
      </c>
      <c r="L23" s="345">
        <v>0.7</v>
      </c>
      <c r="M23" s="345" t="s">
        <v>283</v>
      </c>
      <c r="N23" s="749"/>
      <c r="O23" s="348"/>
    </row>
    <row r="24" spans="1:15" s="748" customFormat="1" ht="24" customHeight="1">
      <c r="A24" s="343"/>
      <c r="B24" s="344"/>
      <c r="C24" s="345"/>
      <c r="D24" s="345"/>
      <c r="E24" s="346"/>
      <c r="F24" s="348"/>
      <c r="G24" s="345"/>
      <c r="H24" s="1077"/>
      <c r="I24" s="1076"/>
      <c r="J24" s="347"/>
      <c r="K24" s="345"/>
      <c r="L24" s="345"/>
      <c r="M24" s="345"/>
      <c r="N24" s="749"/>
      <c r="O24" s="348"/>
    </row>
    <row r="25" spans="1:15" s="748" customFormat="1" ht="66" customHeight="1">
      <c r="A25" s="343"/>
      <c r="B25" s="344" t="s">
        <v>284</v>
      </c>
      <c r="C25" s="345"/>
      <c r="D25" s="345"/>
      <c r="E25" s="346"/>
      <c r="F25" s="476" t="s">
        <v>419</v>
      </c>
      <c r="G25" s="750">
        <v>4</v>
      </c>
      <c r="H25" s="1069" t="s">
        <v>756</v>
      </c>
      <c r="I25" s="1070"/>
      <c r="J25" s="347"/>
      <c r="K25" s="345" t="s">
        <v>283</v>
      </c>
      <c r="L25" s="345">
        <v>1.3</v>
      </c>
      <c r="M25" s="345" t="s">
        <v>283</v>
      </c>
      <c r="N25" s="749"/>
      <c r="O25" s="751"/>
    </row>
    <row r="26" spans="1:15" s="748" customFormat="1" ht="51.75" customHeight="1">
      <c r="A26" s="343"/>
      <c r="B26" s="344"/>
      <c r="C26" s="345"/>
      <c r="D26" s="345"/>
      <c r="E26" s="346"/>
      <c r="F26" s="476"/>
      <c r="G26" s="750"/>
      <c r="H26" s="1069" t="s">
        <v>877</v>
      </c>
      <c r="I26" s="1070"/>
      <c r="J26" s="347"/>
      <c r="K26" s="345" t="s">
        <v>283</v>
      </c>
      <c r="L26" s="753">
        <v>1</v>
      </c>
      <c r="M26" s="345" t="s">
        <v>283</v>
      </c>
      <c r="N26" s="603">
        <f>G25</f>
        <v>4</v>
      </c>
      <c r="O26" s="349">
        <f>J23*L23*L26*L25*N26</f>
        <v>23391</v>
      </c>
    </row>
    <row r="27" spans="1:15" s="748" customFormat="1">
      <c r="A27" s="343"/>
      <c r="B27" s="344" t="s">
        <v>285</v>
      </c>
      <c r="C27" s="345"/>
      <c r="D27" s="345"/>
      <c r="E27" s="346"/>
      <c r="F27" s="478" t="s">
        <v>419</v>
      </c>
      <c r="G27" s="754">
        <v>4</v>
      </c>
      <c r="H27" s="353" t="s">
        <v>604</v>
      </c>
      <c r="I27" s="355"/>
      <c r="J27" s="347">
        <v>2538</v>
      </c>
      <c r="K27" s="345" t="s">
        <v>283</v>
      </c>
      <c r="L27" s="345">
        <v>1.3</v>
      </c>
      <c r="M27" s="345" t="s">
        <v>283</v>
      </c>
      <c r="N27" s="603">
        <f>G27</f>
        <v>4</v>
      </c>
      <c r="O27" s="357">
        <f>N27*L27*J27</f>
        <v>13198</v>
      </c>
    </row>
    <row r="28" spans="1:15" s="748" customFormat="1" ht="12.75" customHeight="1">
      <c r="A28" s="350">
        <v>2</v>
      </c>
      <c r="B28" s="1072" t="s">
        <v>605</v>
      </c>
      <c r="C28" s="1073"/>
      <c r="D28" s="1073"/>
      <c r="E28" s="1074"/>
      <c r="F28" s="755"/>
      <c r="G28" s="736"/>
      <c r="H28" s="347"/>
      <c r="I28" s="345"/>
      <c r="J28" s="341"/>
      <c r="K28" s="339"/>
      <c r="L28" s="339"/>
      <c r="M28" s="339"/>
      <c r="N28" s="602"/>
      <c r="O28" s="756"/>
    </row>
    <row r="29" spans="1:15" s="748" customFormat="1" ht="14.25" customHeight="1">
      <c r="A29" s="348"/>
      <c r="B29" s="344" t="s">
        <v>282</v>
      </c>
      <c r="C29" s="345"/>
      <c r="D29" s="345"/>
      <c r="E29" s="346"/>
      <c r="F29" s="348"/>
      <c r="G29" s="345"/>
      <c r="H29" s="344" t="s">
        <v>673</v>
      </c>
      <c r="I29" s="345"/>
      <c r="J29" s="347">
        <v>1897</v>
      </c>
      <c r="K29" s="345" t="s">
        <v>283</v>
      </c>
      <c r="L29" s="345">
        <v>0.4</v>
      </c>
      <c r="M29" s="345" t="s">
        <v>283</v>
      </c>
      <c r="N29" s="749"/>
      <c r="O29" s="756"/>
    </row>
    <row r="30" spans="1:15" s="748" customFormat="1" ht="40.5" customHeight="1">
      <c r="A30" s="348"/>
      <c r="B30" s="344"/>
      <c r="C30" s="345"/>
      <c r="D30" s="345"/>
      <c r="E30" s="346"/>
      <c r="F30" s="348"/>
      <c r="G30" s="345"/>
      <c r="H30" s="1069" t="s">
        <v>675</v>
      </c>
      <c r="I30" s="1070"/>
      <c r="J30" s="347"/>
      <c r="K30" s="345"/>
      <c r="L30" s="345"/>
      <c r="M30" s="345"/>
      <c r="N30" s="749"/>
      <c r="O30" s="756"/>
    </row>
    <row r="31" spans="1:15" s="748" customFormat="1">
      <c r="A31" s="343"/>
      <c r="B31" s="344" t="s">
        <v>284</v>
      </c>
      <c r="C31" s="345"/>
      <c r="D31" s="345"/>
      <c r="E31" s="346"/>
      <c r="F31" s="476" t="s">
        <v>419</v>
      </c>
      <c r="G31" s="476">
        <v>4</v>
      </c>
      <c r="H31" s="752" t="s">
        <v>879</v>
      </c>
      <c r="I31" s="345"/>
      <c r="J31" s="347"/>
      <c r="K31" s="345" t="s">
        <v>283</v>
      </c>
      <c r="L31" s="753">
        <v>1</v>
      </c>
      <c r="M31" s="345" t="s">
        <v>283</v>
      </c>
      <c r="N31" s="603">
        <f>G31</f>
        <v>4</v>
      </c>
      <c r="O31" s="756">
        <f>J29*L29*L31*N31</f>
        <v>3035</v>
      </c>
    </row>
    <row r="32" spans="1:15" s="748" customFormat="1">
      <c r="A32" s="352"/>
      <c r="B32" s="353" t="s">
        <v>285</v>
      </c>
      <c r="C32" s="354"/>
      <c r="D32" s="354"/>
      <c r="E32" s="355"/>
      <c r="F32" s="478" t="s">
        <v>419</v>
      </c>
      <c r="G32" s="478">
        <v>4</v>
      </c>
      <c r="H32" s="353" t="s">
        <v>414</v>
      </c>
      <c r="I32" s="354"/>
      <c r="J32" s="356"/>
      <c r="K32" s="354"/>
      <c r="L32" s="354">
        <v>428</v>
      </c>
      <c r="M32" s="354" t="s">
        <v>283</v>
      </c>
      <c r="N32" s="604">
        <f>G32</f>
        <v>4</v>
      </c>
      <c r="O32" s="757">
        <f>N32*L32</f>
        <v>1712</v>
      </c>
    </row>
    <row r="33" spans="1:15" s="748" customFormat="1">
      <c r="A33" s="343">
        <v>3</v>
      </c>
      <c r="B33" s="466" t="s">
        <v>606</v>
      </c>
      <c r="C33" s="345"/>
      <c r="D33" s="345"/>
      <c r="E33" s="346"/>
      <c r="F33" s="476"/>
      <c r="G33" s="475"/>
      <c r="H33" s="344"/>
      <c r="I33" s="345"/>
      <c r="J33" s="347"/>
      <c r="K33" s="345"/>
      <c r="L33" s="345"/>
      <c r="M33" s="345"/>
      <c r="N33" s="603"/>
      <c r="O33" s="756"/>
    </row>
    <row r="34" spans="1:15" s="748" customFormat="1">
      <c r="A34" s="343"/>
      <c r="B34" s="466" t="s">
        <v>607</v>
      </c>
      <c r="C34" s="345"/>
      <c r="D34" s="345"/>
      <c r="E34" s="346"/>
      <c r="F34" s="476"/>
      <c r="G34" s="475"/>
      <c r="H34" s="344"/>
      <c r="I34" s="345"/>
      <c r="J34" s="347"/>
      <c r="K34" s="345"/>
      <c r="L34" s="345"/>
      <c r="M34" s="345"/>
      <c r="N34" s="603"/>
      <c r="O34" s="756"/>
    </row>
    <row r="35" spans="1:15" s="748" customFormat="1">
      <c r="A35" s="343"/>
      <c r="B35" s="466" t="s">
        <v>608</v>
      </c>
      <c r="C35" s="345"/>
      <c r="D35" s="345"/>
      <c r="E35" s="346"/>
      <c r="F35" s="476"/>
      <c r="G35" s="475"/>
      <c r="H35" s="344"/>
      <c r="I35" s="346"/>
      <c r="K35" s="345"/>
      <c r="L35" s="345"/>
      <c r="M35" s="345"/>
      <c r="N35" s="758"/>
      <c r="O35" s="759"/>
    </row>
    <row r="36" spans="1:15" s="748" customFormat="1">
      <c r="A36" s="343"/>
      <c r="B36" s="344" t="s">
        <v>284</v>
      </c>
      <c r="C36" s="345"/>
      <c r="D36" s="345"/>
      <c r="E36" s="346"/>
      <c r="F36" s="750" t="s">
        <v>142</v>
      </c>
      <c r="G36" s="476">
        <v>0.15</v>
      </c>
      <c r="H36" s="466" t="s">
        <v>882</v>
      </c>
      <c r="I36" s="346"/>
      <c r="J36" s="347">
        <v>25902</v>
      </c>
      <c r="K36" s="345" t="s">
        <v>283</v>
      </c>
      <c r="L36" s="760">
        <v>1</v>
      </c>
      <c r="M36" s="345" t="s">
        <v>283</v>
      </c>
      <c r="N36" s="603">
        <f>G36</f>
        <v>0.15</v>
      </c>
      <c r="O36" s="349">
        <f>N36*L36*J36</f>
        <v>3885</v>
      </c>
    </row>
    <row r="37" spans="1:15" s="748" customFormat="1" ht="69" customHeight="1">
      <c r="A37" s="343"/>
      <c r="B37" s="353" t="s">
        <v>285</v>
      </c>
      <c r="C37" s="354"/>
      <c r="D37" s="345"/>
      <c r="E37" s="346"/>
      <c r="F37" s="476" t="s">
        <v>142</v>
      </c>
      <c r="G37" s="478">
        <v>0.15</v>
      </c>
      <c r="H37" s="1069" t="s">
        <v>676</v>
      </c>
      <c r="I37" s="1070"/>
      <c r="J37" s="347">
        <v>8196</v>
      </c>
      <c r="K37" s="345" t="s">
        <v>283</v>
      </c>
      <c r="L37" s="345">
        <v>1.2</v>
      </c>
      <c r="M37" s="345" t="s">
        <v>283</v>
      </c>
      <c r="N37" s="603">
        <f>G37</f>
        <v>0.15</v>
      </c>
      <c r="O37" s="357">
        <f>N37*L37*J37</f>
        <v>1475</v>
      </c>
    </row>
    <row r="38" spans="1:15" s="748" customFormat="1">
      <c r="A38" s="350">
        <v>4</v>
      </c>
      <c r="B38" s="761" t="s">
        <v>609</v>
      </c>
      <c r="C38" s="339"/>
      <c r="D38" s="339"/>
      <c r="E38" s="340"/>
      <c r="F38" s="342"/>
      <c r="G38" s="339"/>
      <c r="H38" s="338"/>
      <c r="I38" s="340"/>
      <c r="J38" s="341"/>
      <c r="K38" s="339"/>
      <c r="L38" s="339"/>
      <c r="M38" s="339"/>
      <c r="N38" s="602"/>
      <c r="O38" s="351"/>
    </row>
    <row r="39" spans="1:15" s="748" customFormat="1">
      <c r="A39" s="343"/>
      <c r="B39" s="466" t="s">
        <v>798</v>
      </c>
      <c r="C39" s="345"/>
      <c r="D39" s="345"/>
      <c r="E39" s="346"/>
      <c r="F39" s="348"/>
      <c r="G39" s="345"/>
      <c r="H39" s="344"/>
      <c r="I39" s="346"/>
      <c r="J39" s="347"/>
      <c r="K39" s="345"/>
      <c r="L39" s="345"/>
      <c r="M39" s="345"/>
      <c r="N39" s="603"/>
      <c r="O39" s="349"/>
    </row>
    <row r="40" spans="1:15" s="748" customFormat="1">
      <c r="A40" s="343"/>
      <c r="B40" s="466" t="s">
        <v>608</v>
      </c>
      <c r="C40" s="345"/>
      <c r="D40" s="345"/>
      <c r="E40" s="346"/>
      <c r="F40" s="348"/>
      <c r="G40" s="345"/>
      <c r="H40" s="344"/>
      <c r="I40" s="346"/>
      <c r="J40" s="347"/>
      <c r="K40" s="345"/>
      <c r="L40" s="345"/>
      <c r="M40" s="345"/>
      <c r="N40" s="603"/>
      <c r="O40" s="349"/>
    </row>
    <row r="41" spans="1:15" s="748" customFormat="1">
      <c r="A41" s="343"/>
      <c r="B41" s="466" t="s">
        <v>284</v>
      </c>
      <c r="C41" s="345"/>
      <c r="D41" s="345"/>
      <c r="E41" s="346"/>
      <c r="F41" s="476" t="s">
        <v>142</v>
      </c>
      <c r="G41" s="475">
        <v>0.35</v>
      </c>
      <c r="H41" s="344" t="s">
        <v>881</v>
      </c>
      <c r="I41" s="346"/>
      <c r="J41" s="347">
        <v>12076</v>
      </c>
      <c r="K41" s="345" t="s">
        <v>283</v>
      </c>
      <c r="L41" s="760">
        <v>1</v>
      </c>
      <c r="M41" s="345" t="s">
        <v>283</v>
      </c>
      <c r="N41" s="603">
        <f>G41</f>
        <v>0.35</v>
      </c>
      <c r="O41" s="349">
        <f>N41*L41*J41</f>
        <v>4227</v>
      </c>
    </row>
    <row r="42" spans="1:15" s="748" customFormat="1" ht="12.75" customHeight="1">
      <c r="A42" s="352"/>
      <c r="B42" s="762" t="s">
        <v>610</v>
      </c>
      <c r="C42" s="354"/>
      <c r="D42" s="354"/>
      <c r="E42" s="355"/>
      <c r="F42" s="478" t="s">
        <v>142</v>
      </c>
      <c r="G42" s="477">
        <v>0.35</v>
      </c>
      <c r="H42" s="1067" t="s">
        <v>676</v>
      </c>
      <c r="I42" s="1068"/>
      <c r="J42" s="356">
        <v>5327</v>
      </c>
      <c r="K42" s="354" t="s">
        <v>283</v>
      </c>
      <c r="L42" s="354">
        <v>1.2</v>
      </c>
      <c r="M42" s="354" t="s">
        <v>283</v>
      </c>
      <c r="N42" s="604">
        <f>G42</f>
        <v>0.35</v>
      </c>
      <c r="O42" s="357">
        <f>N42*L42*J42</f>
        <v>2237</v>
      </c>
    </row>
    <row r="43" spans="1:15" s="748" customFormat="1">
      <c r="A43" s="350">
        <v>5</v>
      </c>
      <c r="B43" s="761" t="s">
        <v>609</v>
      </c>
      <c r="C43" s="339"/>
      <c r="D43" s="339"/>
      <c r="E43" s="340"/>
      <c r="F43" s="342"/>
      <c r="G43" s="339"/>
      <c r="H43" s="338"/>
      <c r="I43" s="340"/>
      <c r="J43" s="341"/>
      <c r="K43" s="339"/>
      <c r="L43" s="339"/>
      <c r="M43" s="339"/>
      <c r="N43" s="602"/>
      <c r="O43" s="351"/>
    </row>
    <row r="44" spans="1:15" s="748" customFormat="1">
      <c r="A44" s="343"/>
      <c r="B44" s="466" t="s">
        <v>799</v>
      </c>
      <c r="C44" s="345"/>
      <c r="D44" s="345"/>
      <c r="E44" s="346"/>
      <c r="F44" s="348"/>
      <c r="G44" s="345"/>
      <c r="H44" s="344"/>
      <c r="I44" s="346"/>
      <c r="J44" s="347"/>
      <c r="K44" s="345"/>
      <c r="L44" s="345"/>
      <c r="M44" s="345"/>
      <c r="N44" s="603"/>
      <c r="O44" s="349"/>
    </row>
    <row r="45" spans="1:15" s="748" customFormat="1">
      <c r="A45" s="343"/>
      <c r="B45" s="466" t="s">
        <v>608</v>
      </c>
      <c r="C45" s="345"/>
      <c r="D45" s="345"/>
      <c r="E45" s="346"/>
      <c r="F45" s="348"/>
      <c r="G45" s="345"/>
      <c r="H45" s="344"/>
      <c r="I45" s="346"/>
      <c r="J45" s="347"/>
      <c r="K45" s="345"/>
      <c r="L45" s="345"/>
      <c r="M45" s="345"/>
      <c r="N45" s="603"/>
      <c r="O45" s="349"/>
    </row>
    <row r="46" spans="1:15" s="748" customFormat="1">
      <c r="A46" s="343"/>
      <c r="B46" s="466" t="s">
        <v>284</v>
      </c>
      <c r="C46" s="345"/>
      <c r="D46" s="345"/>
      <c r="E46" s="346"/>
      <c r="F46" s="476" t="s">
        <v>142</v>
      </c>
      <c r="G46" s="475">
        <v>6.2</v>
      </c>
      <c r="H46" s="344" t="s">
        <v>881</v>
      </c>
      <c r="I46" s="346"/>
      <c r="J46" s="347">
        <v>12076</v>
      </c>
      <c r="K46" s="345" t="s">
        <v>283</v>
      </c>
      <c r="L46" s="760">
        <v>1</v>
      </c>
      <c r="M46" s="345" t="s">
        <v>283</v>
      </c>
      <c r="N46" s="603">
        <f>G46</f>
        <v>6.2</v>
      </c>
      <c r="O46" s="349">
        <f>N46*L46*J46</f>
        <v>74871</v>
      </c>
    </row>
    <row r="47" spans="1:15" s="748" customFormat="1">
      <c r="A47" s="343"/>
      <c r="B47" s="466"/>
      <c r="C47" s="345"/>
      <c r="D47" s="345"/>
      <c r="E47" s="346"/>
      <c r="F47" s="476"/>
      <c r="G47" s="475"/>
      <c r="H47" s="344"/>
      <c r="I47" s="346"/>
      <c r="J47" s="347"/>
      <c r="K47" s="345"/>
      <c r="L47" s="760"/>
      <c r="M47" s="345"/>
      <c r="N47" s="603"/>
      <c r="O47" s="349"/>
    </row>
    <row r="48" spans="1:15" s="748" customFormat="1" ht="12.75" customHeight="1">
      <c r="A48" s="352"/>
      <c r="B48" s="762" t="s">
        <v>610</v>
      </c>
      <c r="C48" s="354"/>
      <c r="D48" s="354"/>
      <c r="E48" s="355"/>
      <c r="F48" s="478" t="s">
        <v>142</v>
      </c>
      <c r="G48" s="477">
        <v>6.2</v>
      </c>
      <c r="H48" s="1067" t="s">
        <v>676</v>
      </c>
      <c r="I48" s="1068"/>
      <c r="J48" s="356">
        <v>5327</v>
      </c>
      <c r="K48" s="354" t="s">
        <v>283</v>
      </c>
      <c r="L48" s="354">
        <v>1.2</v>
      </c>
      <c r="M48" s="354" t="s">
        <v>283</v>
      </c>
      <c r="N48" s="604">
        <f>G48</f>
        <v>6.2</v>
      </c>
      <c r="O48" s="357">
        <f>N48*L48*J48</f>
        <v>39633</v>
      </c>
    </row>
    <row r="49" spans="1:15" s="748" customFormat="1">
      <c r="A49" s="350">
        <v>6</v>
      </c>
      <c r="B49" s="761" t="s">
        <v>609</v>
      </c>
      <c r="C49" s="339"/>
      <c r="D49" s="339"/>
      <c r="E49" s="340"/>
      <c r="F49" s="342"/>
      <c r="G49" s="339"/>
      <c r="H49" s="338"/>
      <c r="I49" s="340"/>
      <c r="J49" s="341"/>
      <c r="K49" s="339"/>
      <c r="L49" s="339"/>
      <c r="M49" s="339"/>
      <c r="N49" s="602"/>
      <c r="O49" s="351"/>
    </row>
    <row r="50" spans="1:15" s="748" customFormat="1">
      <c r="A50" s="343"/>
      <c r="B50" s="466" t="s">
        <v>800</v>
      </c>
      <c r="C50" s="345"/>
      <c r="D50" s="345"/>
      <c r="E50" s="346"/>
      <c r="F50" s="348"/>
      <c r="G50" s="345"/>
      <c r="H50" s="344"/>
      <c r="I50" s="346"/>
      <c r="J50" s="347"/>
      <c r="K50" s="345"/>
      <c r="L50" s="345"/>
      <c r="M50" s="345"/>
      <c r="N50" s="603"/>
      <c r="O50" s="349"/>
    </row>
    <row r="51" spans="1:15" s="748" customFormat="1">
      <c r="A51" s="343"/>
      <c r="B51" s="466" t="s">
        <v>608</v>
      </c>
      <c r="C51" s="345"/>
      <c r="D51" s="345"/>
      <c r="E51" s="346"/>
      <c r="F51" s="348"/>
      <c r="G51" s="345"/>
      <c r="H51" s="344"/>
      <c r="I51" s="346"/>
      <c r="J51" s="347"/>
      <c r="K51" s="345"/>
      <c r="L51" s="345"/>
      <c r="M51" s="345"/>
      <c r="N51" s="603"/>
      <c r="O51" s="349"/>
    </row>
    <row r="52" spans="1:15" s="748" customFormat="1">
      <c r="A52" s="343"/>
      <c r="B52" s="466" t="s">
        <v>284</v>
      </c>
      <c r="C52" s="345"/>
      <c r="D52" s="345"/>
      <c r="E52" s="346"/>
      <c r="F52" s="476" t="s">
        <v>142</v>
      </c>
      <c r="G52" s="475">
        <v>0.7</v>
      </c>
      <c r="H52" s="344" t="s">
        <v>881</v>
      </c>
      <c r="I52" s="346"/>
      <c r="J52" s="347">
        <v>12076</v>
      </c>
      <c r="K52" s="345" t="s">
        <v>283</v>
      </c>
      <c r="L52" s="760">
        <v>1</v>
      </c>
      <c r="M52" s="345" t="s">
        <v>283</v>
      </c>
      <c r="N52" s="603">
        <f>G52</f>
        <v>0.7</v>
      </c>
      <c r="O52" s="349">
        <f>N52*L52*J52</f>
        <v>8453</v>
      </c>
    </row>
    <row r="53" spans="1:15" s="748" customFormat="1" ht="12.75" customHeight="1">
      <c r="A53" s="352"/>
      <c r="B53" s="762" t="s">
        <v>610</v>
      </c>
      <c r="C53" s="354"/>
      <c r="D53" s="354"/>
      <c r="E53" s="355"/>
      <c r="F53" s="478" t="s">
        <v>142</v>
      </c>
      <c r="G53" s="477">
        <v>0.7</v>
      </c>
      <c r="H53" s="1067" t="s">
        <v>676</v>
      </c>
      <c r="I53" s="1068"/>
      <c r="J53" s="356">
        <v>5327</v>
      </c>
      <c r="K53" s="354" t="s">
        <v>283</v>
      </c>
      <c r="L53" s="354">
        <v>1.2</v>
      </c>
      <c r="M53" s="354" t="s">
        <v>283</v>
      </c>
      <c r="N53" s="604">
        <f>G53</f>
        <v>0.7</v>
      </c>
      <c r="O53" s="357">
        <f>N53*L53*J53</f>
        <v>4475</v>
      </c>
    </row>
    <row r="54" spans="1:15" s="748" customFormat="1">
      <c r="A54" s="350">
        <v>9</v>
      </c>
      <c r="B54" s="605" t="s">
        <v>611</v>
      </c>
      <c r="C54" s="339"/>
      <c r="D54" s="339"/>
      <c r="E54" s="340"/>
      <c r="F54" s="474"/>
      <c r="G54" s="473"/>
      <c r="H54" s="338"/>
      <c r="I54" s="340"/>
      <c r="J54" s="347"/>
      <c r="K54" s="345"/>
      <c r="L54" s="345"/>
      <c r="M54" s="345"/>
      <c r="N54" s="603"/>
      <c r="O54" s="349"/>
    </row>
    <row r="55" spans="1:15" s="748" customFormat="1">
      <c r="A55" s="343"/>
      <c r="B55" s="466" t="s">
        <v>612</v>
      </c>
      <c r="C55" s="345"/>
      <c r="D55" s="345"/>
      <c r="E55" s="346"/>
      <c r="F55" s="476"/>
      <c r="G55" s="475"/>
      <c r="H55" s="344"/>
      <c r="I55" s="346"/>
      <c r="J55" s="347"/>
      <c r="K55" s="345"/>
      <c r="L55" s="345"/>
      <c r="M55" s="345"/>
      <c r="N55" s="603"/>
      <c r="O55" s="349"/>
    </row>
    <row r="56" spans="1:15" s="748" customFormat="1">
      <c r="A56" s="343"/>
      <c r="B56" s="466" t="s">
        <v>608</v>
      </c>
      <c r="C56" s="345"/>
      <c r="D56" s="345"/>
      <c r="E56" s="346"/>
      <c r="F56" s="476"/>
      <c r="G56" s="475"/>
      <c r="H56" s="344"/>
      <c r="I56" s="346"/>
      <c r="J56" s="347"/>
      <c r="K56" s="345"/>
      <c r="L56" s="345"/>
      <c r="M56" s="345"/>
      <c r="N56" s="603"/>
      <c r="O56" s="349"/>
    </row>
    <row r="57" spans="1:15" s="748" customFormat="1">
      <c r="A57" s="343"/>
      <c r="B57" s="466" t="s">
        <v>284</v>
      </c>
      <c r="C57" s="345"/>
      <c r="D57" s="345"/>
      <c r="E57" s="346"/>
      <c r="F57" s="476" t="s">
        <v>142</v>
      </c>
      <c r="G57" s="475">
        <v>0.7</v>
      </c>
      <c r="H57" s="344" t="s">
        <v>880</v>
      </c>
      <c r="I57" s="346"/>
      <c r="J57" s="347">
        <v>4106</v>
      </c>
      <c r="K57" s="345" t="s">
        <v>283</v>
      </c>
      <c r="L57" s="760">
        <v>1</v>
      </c>
      <c r="M57" s="345" t="s">
        <v>283</v>
      </c>
      <c r="N57" s="603">
        <f>G57</f>
        <v>0.7</v>
      </c>
      <c r="O57" s="349">
        <f>N57*L57*J57</f>
        <v>2874</v>
      </c>
    </row>
    <row r="58" spans="1:15" s="748" customFormat="1" ht="62.25" customHeight="1">
      <c r="A58" s="352"/>
      <c r="B58" s="762" t="s">
        <v>610</v>
      </c>
      <c r="C58" s="354"/>
      <c r="D58" s="354"/>
      <c r="E58" s="355"/>
      <c r="F58" s="478" t="s">
        <v>142</v>
      </c>
      <c r="G58" s="477">
        <v>0.7</v>
      </c>
      <c r="H58" s="1067" t="s">
        <v>676</v>
      </c>
      <c r="I58" s="1068"/>
      <c r="J58" s="356">
        <v>1984</v>
      </c>
      <c r="K58" s="354" t="s">
        <v>283</v>
      </c>
      <c r="L58" s="354">
        <v>1.2</v>
      </c>
      <c r="M58" s="354" t="s">
        <v>283</v>
      </c>
      <c r="N58" s="604">
        <f>G58</f>
        <v>0.7</v>
      </c>
      <c r="O58" s="357">
        <f>N58*L58*J58</f>
        <v>1667</v>
      </c>
    </row>
    <row r="59" spans="1:15" s="748" customFormat="1">
      <c r="A59" s="343">
        <v>10</v>
      </c>
      <c r="B59" s="466" t="s">
        <v>611</v>
      </c>
      <c r="C59" s="345"/>
      <c r="D59" s="345"/>
      <c r="E59" s="346"/>
      <c r="F59" s="476"/>
      <c r="G59" s="475"/>
      <c r="H59" s="344"/>
      <c r="I59" s="346"/>
      <c r="J59" s="347"/>
      <c r="K59" s="345"/>
      <c r="L59" s="345"/>
      <c r="M59" s="345"/>
      <c r="N59" s="603"/>
      <c r="O59" s="349"/>
    </row>
    <row r="60" spans="1:15" s="748" customFormat="1">
      <c r="A60" s="343"/>
      <c r="B60" s="466" t="s">
        <v>613</v>
      </c>
      <c r="C60" s="345"/>
      <c r="D60" s="345"/>
      <c r="E60" s="346"/>
      <c r="F60" s="476"/>
      <c r="G60" s="475"/>
      <c r="H60" s="344"/>
      <c r="I60" s="346"/>
      <c r="J60" s="347"/>
      <c r="K60" s="345"/>
      <c r="L60" s="345"/>
      <c r="M60" s="345"/>
      <c r="N60" s="603"/>
      <c r="O60" s="349"/>
    </row>
    <row r="61" spans="1:15" s="748" customFormat="1">
      <c r="A61" s="343"/>
      <c r="B61" s="466" t="s">
        <v>608</v>
      </c>
      <c r="C61" s="345"/>
      <c r="D61" s="345"/>
      <c r="E61" s="346"/>
      <c r="F61" s="476"/>
      <c r="G61" s="475"/>
      <c r="H61" s="344"/>
      <c r="I61" s="346"/>
      <c r="J61" s="347"/>
      <c r="K61" s="345"/>
      <c r="L61" s="345"/>
      <c r="M61" s="345"/>
      <c r="N61" s="603"/>
      <c r="O61" s="349"/>
    </row>
    <row r="62" spans="1:15" s="748" customFormat="1" ht="48.75" customHeight="1">
      <c r="A62" s="343"/>
      <c r="B62" s="466" t="s">
        <v>284</v>
      </c>
      <c r="C62" s="345"/>
      <c r="D62" s="345"/>
      <c r="E62" s="346"/>
      <c r="F62" s="476" t="s">
        <v>142</v>
      </c>
      <c r="G62" s="475">
        <v>0.7</v>
      </c>
      <c r="H62" s="1069" t="s">
        <v>677</v>
      </c>
      <c r="I62" s="1070"/>
      <c r="J62" s="345">
        <v>4106</v>
      </c>
      <c r="K62" s="345" t="s">
        <v>283</v>
      </c>
      <c r="L62" s="345">
        <v>0.4</v>
      </c>
      <c r="M62" s="345" t="s">
        <v>283</v>
      </c>
      <c r="N62" s="749"/>
      <c r="O62" s="751"/>
    </row>
    <row r="63" spans="1:15" s="748" customFormat="1">
      <c r="A63" s="343"/>
      <c r="B63" s="466"/>
      <c r="C63" s="345"/>
      <c r="D63" s="345"/>
      <c r="E63" s="346"/>
      <c r="F63" s="476"/>
      <c r="G63" s="475"/>
      <c r="H63" s="752" t="s">
        <v>879</v>
      </c>
      <c r="I63" s="346"/>
      <c r="J63" s="347"/>
      <c r="K63" s="345" t="s">
        <v>283</v>
      </c>
      <c r="L63" s="760">
        <v>1</v>
      </c>
      <c r="M63" s="345" t="s">
        <v>283</v>
      </c>
      <c r="N63" s="603">
        <f>G62</f>
        <v>0.7</v>
      </c>
      <c r="O63" s="349">
        <f>N63*L63*L62*J62</f>
        <v>1150</v>
      </c>
    </row>
    <row r="64" spans="1:15" s="748" customFormat="1" ht="39" customHeight="1">
      <c r="A64" s="343"/>
      <c r="B64" s="466" t="s">
        <v>610</v>
      </c>
      <c r="C64" s="345"/>
      <c r="D64" s="345"/>
      <c r="E64" s="346"/>
      <c r="F64" s="476" t="s">
        <v>142</v>
      </c>
      <c r="G64" s="475">
        <v>0.7</v>
      </c>
      <c r="H64" s="1067" t="s">
        <v>738</v>
      </c>
      <c r="I64" s="1068"/>
      <c r="J64" s="347">
        <v>1984</v>
      </c>
      <c r="K64" s="345" t="s">
        <v>283</v>
      </c>
      <c r="L64" s="345">
        <v>0.4</v>
      </c>
      <c r="M64" s="345" t="s">
        <v>283</v>
      </c>
      <c r="N64" s="603"/>
      <c r="O64" s="349"/>
    </row>
    <row r="65" spans="1:16" s="748" customFormat="1" ht="62.25" customHeight="1">
      <c r="A65" s="343"/>
      <c r="B65" s="762"/>
      <c r="C65" s="354"/>
      <c r="D65" s="354"/>
      <c r="E65" s="355"/>
      <c r="F65" s="478"/>
      <c r="G65" s="477"/>
      <c r="H65" s="1067" t="s">
        <v>676</v>
      </c>
      <c r="I65" s="1068"/>
      <c r="J65" s="356"/>
      <c r="K65" s="354" t="s">
        <v>283</v>
      </c>
      <c r="L65" s="354">
        <v>1.2</v>
      </c>
      <c r="M65" s="354" t="s">
        <v>283</v>
      </c>
      <c r="N65" s="604">
        <f>G64</f>
        <v>0.7</v>
      </c>
      <c r="O65" s="357">
        <f>N65*L65*L64*J64</f>
        <v>667</v>
      </c>
    </row>
    <row r="66" spans="1:16">
      <c r="A66" s="337">
        <v>11</v>
      </c>
      <c r="B66" s="338" t="s">
        <v>614</v>
      </c>
      <c r="C66" s="339"/>
      <c r="D66" s="339"/>
      <c r="E66" s="340"/>
      <c r="F66" s="348"/>
      <c r="G66" s="345"/>
      <c r="H66" s="347"/>
      <c r="I66" s="346"/>
      <c r="J66" s="341"/>
      <c r="K66" s="339"/>
      <c r="L66" s="339"/>
      <c r="M66" s="339"/>
      <c r="N66" s="339"/>
      <c r="O66" s="358"/>
    </row>
    <row r="67" spans="1:16">
      <c r="A67" s="359"/>
      <c r="B67" s="344" t="s">
        <v>615</v>
      </c>
      <c r="C67" s="345"/>
      <c r="D67" s="345"/>
      <c r="E67" s="346"/>
      <c r="F67" s="348"/>
      <c r="G67" s="345"/>
      <c r="H67" s="347"/>
      <c r="I67" s="346"/>
      <c r="J67" s="347"/>
      <c r="K67" s="345"/>
      <c r="L67" s="345"/>
      <c r="M67" s="345"/>
      <c r="N67" s="345"/>
      <c r="O67" s="360"/>
    </row>
    <row r="68" spans="1:16">
      <c r="A68" s="359"/>
      <c r="B68" s="344" t="s">
        <v>678</v>
      </c>
      <c r="C68" s="345"/>
      <c r="D68" s="345"/>
      <c r="E68" s="346"/>
      <c r="F68" s="348"/>
      <c r="G68" s="345"/>
      <c r="H68" s="347"/>
      <c r="I68" s="346"/>
      <c r="J68" s="347"/>
      <c r="K68" s="345"/>
      <c r="L68" s="345"/>
      <c r="M68" s="345"/>
      <c r="N68" s="345"/>
      <c r="O68" s="360"/>
    </row>
    <row r="69" spans="1:16" ht="12.75" customHeight="1">
      <c r="A69" s="359"/>
      <c r="B69" s="347" t="s">
        <v>616</v>
      </c>
      <c r="C69" s="345"/>
      <c r="D69" s="345"/>
      <c r="E69" s="346"/>
      <c r="F69" s="348"/>
      <c r="G69" s="345"/>
      <c r="H69" s="347"/>
      <c r="I69" s="346"/>
      <c r="J69" s="347"/>
      <c r="K69" s="345"/>
      <c r="L69" s="345"/>
      <c r="M69" s="345"/>
      <c r="N69" s="345"/>
      <c r="O69" s="360"/>
    </row>
    <row r="70" spans="1:16" ht="12.75" customHeight="1">
      <c r="A70" s="359"/>
      <c r="B70" s="347" t="s">
        <v>617</v>
      </c>
      <c r="C70" s="345"/>
      <c r="D70" s="345"/>
      <c r="E70" s="346"/>
      <c r="F70" s="348"/>
      <c r="G70" s="345"/>
      <c r="H70" s="347"/>
      <c r="I70" s="346"/>
      <c r="J70" s="347"/>
      <c r="K70" s="345"/>
      <c r="L70" s="345"/>
      <c r="M70" s="345"/>
      <c r="N70" s="345"/>
      <c r="O70" s="360"/>
    </row>
    <row r="71" spans="1:16" ht="12.75" customHeight="1">
      <c r="A71" s="359"/>
      <c r="B71" s="347" t="s">
        <v>618</v>
      </c>
      <c r="C71" s="345"/>
      <c r="D71" s="345"/>
      <c r="E71" s="346"/>
      <c r="F71" s="323"/>
      <c r="G71" s="345"/>
      <c r="H71" s="324"/>
      <c r="I71" s="325"/>
      <c r="J71" s="324"/>
      <c r="K71" s="4"/>
      <c r="L71" s="4"/>
      <c r="M71" s="4"/>
      <c r="N71" s="345"/>
      <c r="O71" s="360"/>
    </row>
    <row r="72" spans="1:16" ht="63.75" customHeight="1">
      <c r="A72" s="359"/>
      <c r="B72" s="347" t="s">
        <v>284</v>
      </c>
      <c r="C72" s="345"/>
      <c r="D72" s="345"/>
      <c r="E72" s="346"/>
      <c r="F72" s="476" t="s">
        <v>173</v>
      </c>
      <c r="G72" s="475">
        <v>8</v>
      </c>
      <c r="H72" s="1069" t="s">
        <v>679</v>
      </c>
      <c r="I72" s="1070"/>
      <c r="J72" s="347">
        <v>674</v>
      </c>
      <c r="K72" s="345" t="s">
        <v>283</v>
      </c>
      <c r="L72" s="345">
        <v>0.7</v>
      </c>
      <c r="M72" s="345" t="s">
        <v>283</v>
      </c>
      <c r="N72" s="4"/>
      <c r="O72" s="323"/>
    </row>
    <row r="73" spans="1:16" ht="76.5" customHeight="1">
      <c r="A73" s="359"/>
      <c r="B73" s="347"/>
      <c r="C73" s="345"/>
      <c r="D73" s="345"/>
      <c r="E73" s="346"/>
      <c r="F73" s="476"/>
      <c r="G73" s="475"/>
      <c r="H73" s="1078" t="s">
        <v>680</v>
      </c>
      <c r="I73" s="1079"/>
      <c r="J73" s="345"/>
      <c r="K73" s="345" t="s">
        <v>283</v>
      </c>
      <c r="L73" s="345">
        <v>1.2</v>
      </c>
      <c r="M73" s="345" t="s">
        <v>283</v>
      </c>
      <c r="N73" s="345"/>
      <c r="O73" s="360"/>
    </row>
    <row r="74" spans="1:16" ht="15.75" customHeight="1">
      <c r="A74" s="359"/>
      <c r="B74" s="347"/>
      <c r="C74" s="345"/>
      <c r="D74" s="345"/>
      <c r="E74" s="346"/>
      <c r="F74" s="476"/>
      <c r="G74" s="475"/>
      <c r="H74" s="1080" t="s">
        <v>681</v>
      </c>
      <c r="I74" s="1081"/>
      <c r="J74" s="347"/>
      <c r="K74" s="345"/>
      <c r="L74" s="345"/>
      <c r="M74" s="345"/>
      <c r="N74" s="345"/>
      <c r="O74" s="360"/>
    </row>
    <row r="75" spans="1:16" ht="15.75" customHeight="1">
      <c r="A75" s="359"/>
      <c r="B75" s="347"/>
      <c r="C75" s="345"/>
      <c r="D75" s="345"/>
      <c r="E75" s="346"/>
      <c r="F75" s="476"/>
      <c r="G75" s="475"/>
      <c r="H75" s="1069" t="s">
        <v>682</v>
      </c>
      <c r="I75" s="1070"/>
      <c r="J75" s="347"/>
      <c r="K75" s="345"/>
      <c r="L75" s="345"/>
      <c r="M75" s="345"/>
      <c r="N75" s="345"/>
      <c r="O75" s="360"/>
    </row>
    <row r="76" spans="1:16" ht="39.75" customHeight="1">
      <c r="A76" s="359"/>
      <c r="B76" s="347"/>
      <c r="C76" s="345"/>
      <c r="D76" s="345"/>
      <c r="E76" s="346"/>
      <c r="F76" s="476"/>
      <c r="G76" s="475"/>
      <c r="H76" s="1069" t="s">
        <v>683</v>
      </c>
      <c r="I76" s="1070"/>
      <c r="J76" s="347"/>
      <c r="K76" s="345"/>
      <c r="L76" s="345"/>
      <c r="M76" s="345"/>
      <c r="N76" s="345"/>
      <c r="O76" s="360"/>
    </row>
    <row r="77" spans="1:16" ht="15.75" customHeight="1">
      <c r="A77" s="359"/>
      <c r="B77" s="347"/>
      <c r="C77" s="345"/>
      <c r="D77" s="345"/>
      <c r="E77" s="346"/>
      <c r="F77" s="476"/>
      <c r="G77" s="475"/>
      <c r="H77" s="752" t="s">
        <v>879</v>
      </c>
      <c r="I77" s="346"/>
      <c r="J77" s="347"/>
      <c r="K77" s="345" t="s">
        <v>283</v>
      </c>
      <c r="L77" s="760">
        <v>1</v>
      </c>
      <c r="M77" s="345" t="s">
        <v>283</v>
      </c>
      <c r="N77" s="345">
        <f>G72</f>
        <v>8</v>
      </c>
      <c r="O77" s="360">
        <f>N77*L77*L73*L72*J72</f>
        <v>4529</v>
      </c>
    </row>
    <row r="78" spans="1:16" ht="78" customHeight="1">
      <c r="A78" s="359"/>
      <c r="B78" s="347" t="s">
        <v>286</v>
      </c>
      <c r="C78" s="345"/>
      <c r="D78" s="345"/>
      <c r="E78" s="345"/>
      <c r="F78" s="476" t="s">
        <v>173</v>
      </c>
      <c r="G78" s="475">
        <v>8</v>
      </c>
      <c r="H78" s="1069" t="s">
        <v>684</v>
      </c>
      <c r="I78" s="1083"/>
      <c r="J78" s="347">
        <v>159</v>
      </c>
      <c r="K78" s="345" t="s">
        <v>283</v>
      </c>
      <c r="L78" s="345">
        <v>1.2</v>
      </c>
      <c r="M78" s="345" t="s">
        <v>283</v>
      </c>
      <c r="N78" s="345">
        <f>G78</f>
        <v>8</v>
      </c>
      <c r="O78" s="360">
        <f>N78*L78*J78</f>
        <v>1526</v>
      </c>
    </row>
    <row r="79" spans="1:16" ht="63" customHeight="1">
      <c r="A79" s="359"/>
      <c r="B79" s="347"/>
      <c r="C79" s="345"/>
      <c r="D79" s="345"/>
      <c r="E79" s="346"/>
      <c r="F79" s="476"/>
      <c r="G79" s="475"/>
      <c r="H79" s="1067" t="s">
        <v>676</v>
      </c>
      <c r="I79" s="1068"/>
      <c r="J79" s="347"/>
      <c r="K79" s="345"/>
      <c r="L79" s="345"/>
      <c r="M79" s="345"/>
      <c r="N79" s="345"/>
      <c r="O79" s="362"/>
    </row>
    <row r="80" spans="1:16">
      <c r="A80" s="350">
        <v>12</v>
      </c>
      <c r="B80" s="341" t="s">
        <v>614</v>
      </c>
      <c r="C80" s="339"/>
      <c r="D80" s="339"/>
      <c r="E80" s="340"/>
      <c r="F80" s="342"/>
      <c r="G80" s="339"/>
      <c r="H80" s="341"/>
      <c r="I80" s="340"/>
      <c r="J80" s="341"/>
      <c r="K80" s="339"/>
      <c r="L80" s="339"/>
      <c r="M80" s="339"/>
      <c r="N80" s="340"/>
      <c r="O80" s="358"/>
      <c r="P80" s="467"/>
    </row>
    <row r="81" spans="1:17">
      <c r="A81" s="359"/>
      <c r="B81" s="347" t="s">
        <v>619</v>
      </c>
      <c r="C81" s="345"/>
      <c r="D81" s="345"/>
      <c r="E81" s="346"/>
      <c r="F81" s="348"/>
      <c r="G81" s="345"/>
      <c r="H81" s="347"/>
      <c r="I81" s="346"/>
      <c r="J81" s="347"/>
      <c r="K81" s="345"/>
      <c r="L81" s="345"/>
      <c r="M81" s="345"/>
      <c r="N81" s="346"/>
      <c r="O81" s="360"/>
    </row>
    <row r="82" spans="1:17">
      <c r="A82" s="359"/>
      <c r="B82" s="347" t="s">
        <v>617</v>
      </c>
      <c r="C82" s="345"/>
      <c r="D82" s="345"/>
      <c r="E82" s="346"/>
      <c r="F82" s="348"/>
      <c r="G82" s="345"/>
      <c r="H82" s="347"/>
      <c r="I82" s="346"/>
      <c r="J82" s="347"/>
      <c r="K82" s="345"/>
      <c r="L82" s="345"/>
      <c r="M82" s="345"/>
      <c r="N82" s="346"/>
      <c r="O82" s="360"/>
    </row>
    <row r="83" spans="1:17">
      <c r="A83" s="343"/>
      <c r="B83" s="347" t="s">
        <v>618</v>
      </c>
      <c r="C83" s="345"/>
      <c r="D83" s="345"/>
      <c r="E83" s="346"/>
      <c r="F83" s="348"/>
      <c r="G83" s="345"/>
      <c r="H83" s="347"/>
      <c r="I83" s="346"/>
      <c r="J83" s="347"/>
      <c r="K83" s="345"/>
      <c r="L83" s="345"/>
      <c r="M83" s="345"/>
      <c r="N83" s="346"/>
      <c r="O83" s="360"/>
    </row>
    <row r="84" spans="1:17">
      <c r="A84" s="343"/>
      <c r="B84" s="347" t="s">
        <v>284</v>
      </c>
      <c r="C84" s="345"/>
      <c r="D84" s="345"/>
      <c r="E84" s="346"/>
      <c r="F84" s="476" t="s">
        <v>173</v>
      </c>
      <c r="G84" s="476">
        <v>8</v>
      </c>
      <c r="H84" s="363" t="s">
        <v>878</v>
      </c>
      <c r="I84" s="346"/>
      <c r="J84" s="347">
        <v>2432</v>
      </c>
      <c r="K84" s="345" t="s">
        <v>283</v>
      </c>
      <c r="L84" s="760">
        <v>1</v>
      </c>
      <c r="M84" s="345" t="s">
        <v>283</v>
      </c>
      <c r="N84" s="346">
        <f>G84</f>
        <v>8</v>
      </c>
      <c r="O84" s="360">
        <f>N84*L84*J84</f>
        <v>19456</v>
      </c>
    </row>
    <row r="85" spans="1:17">
      <c r="A85" s="352"/>
      <c r="B85" s="356" t="s">
        <v>286</v>
      </c>
      <c r="C85" s="354"/>
      <c r="D85" s="354"/>
      <c r="E85" s="355"/>
      <c r="F85" s="478" t="s">
        <v>173</v>
      </c>
      <c r="G85" s="476">
        <v>8</v>
      </c>
      <c r="H85" s="363" t="s">
        <v>620</v>
      </c>
      <c r="I85" s="346"/>
      <c r="J85" s="356">
        <v>589</v>
      </c>
      <c r="K85" s="354" t="s">
        <v>283</v>
      </c>
      <c r="L85" s="354">
        <v>1.2</v>
      </c>
      <c r="M85" s="354" t="s">
        <v>283</v>
      </c>
      <c r="N85" s="355">
        <f>G85</f>
        <v>8</v>
      </c>
      <c r="O85" s="362">
        <f>N85*L85*J85</f>
        <v>5654</v>
      </c>
    </row>
    <row r="86" spans="1:17" s="748" customFormat="1" ht="12.75" customHeight="1">
      <c r="A86" s="337">
        <v>13</v>
      </c>
      <c r="B86" s="341" t="s">
        <v>287</v>
      </c>
      <c r="C86" s="339"/>
      <c r="D86" s="339"/>
      <c r="E86" s="339"/>
      <c r="F86" s="341"/>
      <c r="G86" s="342"/>
      <c r="H86" s="338"/>
      <c r="I86" s="340"/>
      <c r="J86" s="341"/>
      <c r="K86" s="339"/>
      <c r="L86" s="339"/>
      <c r="M86" s="339"/>
      <c r="N86" s="340"/>
      <c r="O86" s="358"/>
    </row>
    <row r="87" spans="1:17" s="748" customFormat="1" ht="12.75" customHeight="1">
      <c r="A87" s="359"/>
      <c r="B87" s="347" t="s">
        <v>621</v>
      </c>
      <c r="C87" s="345"/>
      <c r="D87" s="345"/>
      <c r="E87" s="345"/>
      <c r="F87" s="347"/>
      <c r="G87" s="348"/>
      <c r="H87" s="344"/>
      <c r="I87" s="346"/>
      <c r="J87" s="347"/>
      <c r="K87" s="345"/>
      <c r="L87" s="345"/>
      <c r="M87" s="345"/>
      <c r="N87" s="346"/>
      <c r="O87" s="360"/>
    </row>
    <row r="88" spans="1:17" s="748" customFormat="1" ht="12.75" customHeight="1">
      <c r="A88" s="359"/>
      <c r="B88" s="347" t="s">
        <v>617</v>
      </c>
      <c r="C88" s="345"/>
      <c r="D88" s="345"/>
      <c r="E88" s="345"/>
      <c r="F88" s="347"/>
      <c r="G88" s="751"/>
      <c r="H88" s="763"/>
      <c r="I88" s="749"/>
      <c r="J88" s="763"/>
      <c r="K88" s="764"/>
      <c r="L88" s="764"/>
      <c r="M88" s="764"/>
      <c r="N88" s="749"/>
      <c r="O88" s="751"/>
    </row>
    <row r="89" spans="1:17" s="748" customFormat="1" ht="66" customHeight="1">
      <c r="A89" s="359"/>
      <c r="B89" s="347" t="s">
        <v>288</v>
      </c>
      <c r="C89" s="345"/>
      <c r="D89" s="345"/>
      <c r="E89" s="345" t="s">
        <v>670</v>
      </c>
      <c r="F89" s="750" t="s">
        <v>173</v>
      </c>
      <c r="G89" s="750">
        <v>8</v>
      </c>
      <c r="H89" s="1069" t="s">
        <v>685</v>
      </c>
      <c r="I89" s="1070"/>
      <c r="J89" s="345">
        <v>159</v>
      </c>
      <c r="K89" s="345" t="s">
        <v>283</v>
      </c>
      <c r="L89" s="345">
        <v>1.3</v>
      </c>
      <c r="M89" s="345" t="s">
        <v>283</v>
      </c>
      <c r="N89" s="346">
        <f>G89</f>
        <v>8</v>
      </c>
      <c r="O89" s="360">
        <f>N89*L89*J89</f>
        <v>1654</v>
      </c>
    </row>
    <row r="90" spans="1:17" s="748" customFormat="1" ht="12.75" customHeight="1">
      <c r="A90" s="359"/>
      <c r="B90" s="347"/>
      <c r="C90" s="345"/>
      <c r="D90" s="345"/>
      <c r="E90" s="345"/>
      <c r="F90" s="750"/>
      <c r="G90" s="476"/>
      <c r="H90" s="344"/>
      <c r="I90" s="346"/>
      <c r="J90" s="347"/>
      <c r="K90" s="345"/>
      <c r="L90" s="345"/>
      <c r="M90" s="345"/>
      <c r="N90" s="346"/>
      <c r="O90" s="360"/>
    </row>
    <row r="91" spans="1:17" s="748" customFormat="1" ht="15.75" customHeight="1">
      <c r="A91" s="361"/>
      <c r="B91" s="356" t="s">
        <v>289</v>
      </c>
      <c r="C91" s="354"/>
      <c r="D91" s="354"/>
      <c r="E91" s="354" t="s">
        <v>671</v>
      </c>
      <c r="F91" s="754" t="s">
        <v>173</v>
      </c>
      <c r="G91" s="478">
        <v>8</v>
      </c>
      <c r="H91" s="353" t="s">
        <v>622</v>
      </c>
      <c r="I91" s="355"/>
      <c r="J91" s="356">
        <v>589</v>
      </c>
      <c r="K91" s="354" t="s">
        <v>283</v>
      </c>
      <c r="L91" s="354">
        <v>1.3</v>
      </c>
      <c r="M91" s="354" t="s">
        <v>283</v>
      </c>
      <c r="N91" s="355">
        <f>G91</f>
        <v>8</v>
      </c>
      <c r="O91" s="362">
        <f>N91*L91*J91</f>
        <v>6126</v>
      </c>
    </row>
    <row r="92" spans="1:17" ht="13.5" customHeight="1">
      <c r="A92" s="364">
        <v>14</v>
      </c>
      <c r="B92" s="365" t="s">
        <v>290</v>
      </c>
      <c r="C92" s="365"/>
      <c r="D92" s="365"/>
      <c r="E92" s="366"/>
      <c r="F92" s="478" t="s">
        <v>686</v>
      </c>
      <c r="G92" s="765"/>
      <c r="H92" s="762" t="s">
        <v>534</v>
      </c>
      <c r="I92" s="355"/>
      <c r="J92" s="356"/>
      <c r="K92" s="354"/>
      <c r="L92" s="354">
        <v>54000</v>
      </c>
      <c r="M92" s="354" t="s">
        <v>283</v>
      </c>
      <c r="N92" s="355">
        <v>1</v>
      </c>
      <c r="O92" s="362">
        <f>N92*L92</f>
        <v>54000</v>
      </c>
    </row>
    <row r="93" spans="1:17">
      <c r="A93" s="369">
        <v>15</v>
      </c>
      <c r="B93" s="365" t="s">
        <v>757</v>
      </c>
      <c r="C93" s="365"/>
      <c r="D93" s="365"/>
      <c r="E93" s="366"/>
      <c r="F93" s="766"/>
      <c r="G93" s="766"/>
      <c r="H93" s="767" t="s">
        <v>758</v>
      </c>
      <c r="I93" s="366"/>
      <c r="J93" s="606"/>
      <c r="K93" s="365"/>
      <c r="L93" s="607">
        <f>O84+O77+O63+O57+O41+O36+O31+O26+O46+O52+O89</f>
        <v>147525</v>
      </c>
      <c r="M93" s="354" t="s">
        <v>283</v>
      </c>
      <c r="N93" s="608">
        <v>0.16250000000000001</v>
      </c>
      <c r="O93" s="368">
        <f>N93*L93</f>
        <v>23973</v>
      </c>
      <c r="Q93" s="370"/>
    </row>
    <row r="94" spans="1:17">
      <c r="A94" s="364">
        <v>16</v>
      </c>
      <c r="B94" s="365" t="s">
        <v>291</v>
      </c>
      <c r="C94" s="365"/>
      <c r="D94" s="365"/>
      <c r="E94" s="366"/>
      <c r="F94" s="766"/>
      <c r="G94" s="766"/>
      <c r="H94" s="768" t="s">
        <v>292</v>
      </c>
      <c r="I94" s="366"/>
      <c r="J94" s="606">
        <f>L93+O93</f>
        <v>171498</v>
      </c>
      <c r="K94" s="365" t="s">
        <v>283</v>
      </c>
      <c r="L94" s="365">
        <v>2.5</v>
      </c>
      <c r="M94" s="365" t="s">
        <v>283</v>
      </c>
      <c r="N94" s="365">
        <v>0.06</v>
      </c>
      <c r="O94" s="368">
        <f>N94*L94*J94</f>
        <v>25725</v>
      </c>
    </row>
    <row r="95" spans="1:17">
      <c r="A95" s="769">
        <v>17</v>
      </c>
      <c r="B95" s="365" t="s">
        <v>293</v>
      </c>
      <c r="C95" s="365"/>
      <c r="D95" s="365"/>
      <c r="E95" s="366"/>
      <c r="F95" s="766"/>
      <c r="G95" s="766"/>
      <c r="H95" s="768" t="s">
        <v>294</v>
      </c>
      <c r="I95" s="366"/>
      <c r="J95" s="609"/>
      <c r="K95" s="365"/>
      <c r="L95" s="606">
        <f>O94+O93+O92+O91+O89+O85+O84+O78+O77+O65+O63+O58+O57+O42+O41+O37+O36+O32+O31+O27+O26+O46+O48+O52+O53</f>
        <v>329593</v>
      </c>
      <c r="M95" s="365" t="s">
        <v>283</v>
      </c>
      <c r="N95" s="365">
        <v>1.6</v>
      </c>
      <c r="O95" s="368">
        <f>N95*L95</f>
        <v>527349</v>
      </c>
    </row>
    <row r="96" spans="1:17">
      <c r="A96" s="769">
        <v>18</v>
      </c>
      <c r="B96" s="367" t="s">
        <v>264</v>
      </c>
      <c r="C96" s="365"/>
      <c r="D96" s="365"/>
      <c r="E96" s="366"/>
      <c r="F96" s="766"/>
      <c r="G96" s="766"/>
      <c r="H96" s="768"/>
      <c r="I96" s="366"/>
      <c r="J96" s="609"/>
      <c r="K96" s="365"/>
      <c r="L96" s="606">
        <f>O95</f>
        <v>527349</v>
      </c>
      <c r="M96" s="365" t="s">
        <v>283</v>
      </c>
      <c r="N96" s="366">
        <v>0</v>
      </c>
      <c r="O96" s="368">
        <f>N96*L96</f>
        <v>0</v>
      </c>
    </row>
    <row r="97" spans="1:15">
      <c r="A97" s="333"/>
      <c r="B97" s="333"/>
      <c r="C97" s="333"/>
      <c r="D97" s="333"/>
      <c r="E97" s="333"/>
      <c r="F97" s="333"/>
      <c r="G97" s="333"/>
      <c r="H97" s="333"/>
      <c r="I97" s="333"/>
      <c r="J97" s="333"/>
      <c r="K97" s="333"/>
      <c r="L97" s="333"/>
      <c r="M97" s="333"/>
      <c r="N97" s="333"/>
      <c r="O97" s="371"/>
    </row>
    <row r="98" spans="1:15" ht="15.75">
      <c r="A98" s="333"/>
      <c r="B98" s="931" t="s">
        <v>729</v>
      </c>
      <c r="C98" s="333"/>
      <c r="D98" s="333"/>
      <c r="E98" s="333"/>
      <c r="F98" s="333"/>
      <c r="G98" s="333"/>
      <c r="H98" s="969"/>
      <c r="I98" s="969"/>
      <c r="J98" s="333"/>
      <c r="K98" s="333"/>
      <c r="L98" s="333"/>
      <c r="M98" s="333"/>
      <c r="N98" s="333"/>
      <c r="O98" s="333"/>
    </row>
    <row r="99" spans="1:15" ht="21.75" hidden="1" customHeight="1">
      <c r="A99" s="1082" t="s">
        <v>28</v>
      </c>
      <c r="B99" s="1082"/>
      <c r="C99" s="1082"/>
      <c r="D99" s="1082"/>
      <c r="E99" s="333"/>
      <c r="F99" s="333"/>
      <c r="G99" s="333"/>
      <c r="H99" s="333"/>
      <c r="I99" s="333"/>
      <c r="J99" s="333"/>
      <c r="K99" s="333"/>
      <c r="L99" s="333"/>
      <c r="M99" s="333"/>
      <c r="N99" s="333"/>
      <c r="O99" s="333"/>
    </row>
    <row r="100" spans="1:15" ht="21.75" customHeight="1">
      <c r="A100" s="76"/>
      <c r="B100" s="76"/>
      <c r="C100" s="63"/>
      <c r="D100" s="63"/>
      <c r="E100" s="61"/>
      <c r="F100" s="59"/>
      <c r="G100" s="333"/>
      <c r="H100" s="333"/>
      <c r="I100" s="59"/>
      <c r="J100" s="372"/>
      <c r="K100" s="333"/>
      <c r="L100" s="333"/>
      <c r="M100" s="333"/>
      <c r="N100" s="770"/>
      <c r="O100" s="333"/>
    </row>
    <row r="101" spans="1:15" ht="15.75">
      <c r="A101" s="71"/>
      <c r="B101" s="63" t="s">
        <v>730</v>
      </c>
      <c r="C101" s="63"/>
      <c r="D101" s="63"/>
      <c r="E101" s="54"/>
      <c r="F101" s="84"/>
      <c r="G101" s="333"/>
      <c r="H101" s="970"/>
      <c r="I101" s="971"/>
      <c r="J101" s="333"/>
      <c r="K101" s="333"/>
      <c r="L101" s="333" t="s">
        <v>577</v>
      </c>
      <c r="M101" s="333"/>
      <c r="N101" s="333"/>
      <c r="O101" s="333"/>
    </row>
    <row r="102" spans="1:15" ht="15.75" hidden="1">
      <c r="A102" s="76"/>
      <c r="B102" s="76"/>
      <c r="C102" s="76"/>
      <c r="D102" s="76"/>
      <c r="E102" s="61"/>
      <c r="F102" s="59"/>
      <c r="G102" s="333"/>
      <c r="H102" s="333"/>
      <c r="I102" s="59"/>
      <c r="J102" s="770"/>
      <c r="K102" s="333"/>
      <c r="L102" s="333"/>
      <c r="M102" s="333"/>
      <c r="N102" s="333"/>
      <c r="O102" s="333"/>
    </row>
    <row r="103" spans="1:15" ht="15.75" hidden="1">
      <c r="A103" s="77" t="s">
        <v>29</v>
      </c>
      <c r="B103" s="1"/>
      <c r="C103" s="1"/>
      <c r="D103" s="1"/>
      <c r="E103" s="1"/>
      <c r="F103" s="78"/>
      <c r="G103" s="333"/>
      <c r="H103" s="333"/>
      <c r="I103" s="78"/>
      <c r="J103" s="333"/>
      <c r="K103" s="333"/>
      <c r="L103" s="333"/>
      <c r="M103" s="333"/>
      <c r="N103" s="333"/>
      <c r="O103" s="333"/>
    </row>
    <row r="104" spans="1:15" ht="35.25" hidden="1" customHeight="1">
      <c r="A104" s="720" t="s">
        <v>575</v>
      </c>
      <c r="B104" s="721"/>
      <c r="C104" s="721"/>
      <c r="D104" s="721"/>
      <c r="E104" s="722"/>
      <c r="F104" s="723"/>
      <c r="G104" s="333"/>
      <c r="H104" s="333"/>
      <c r="I104" s="723"/>
      <c r="J104" s="333"/>
      <c r="K104" s="333"/>
      <c r="L104" s="333"/>
      <c r="M104" s="333"/>
      <c r="N104" s="333"/>
      <c r="O104" s="333"/>
    </row>
    <row r="105" spans="1:15" ht="15.75" hidden="1">
      <c r="A105" s="720"/>
      <c r="B105" s="721"/>
      <c r="C105" s="721"/>
      <c r="D105" s="721"/>
      <c r="E105" s="722"/>
      <c r="F105" s="724"/>
      <c r="G105" s="333"/>
      <c r="H105" s="333"/>
      <c r="I105" s="724"/>
      <c r="J105" s="333"/>
      <c r="K105" s="333"/>
      <c r="L105" s="333"/>
      <c r="M105" s="333"/>
      <c r="N105" s="333"/>
      <c r="O105" s="333"/>
    </row>
    <row r="106" spans="1:15" ht="15.75" hidden="1">
      <c r="A106" s="725" t="s">
        <v>600</v>
      </c>
      <c r="B106" s="725"/>
      <c r="C106" s="725"/>
      <c r="D106" s="725"/>
      <c r="E106" s="725"/>
      <c r="F106" s="726"/>
      <c r="G106" s="333"/>
      <c r="H106" s="333"/>
      <c r="I106" s="726" t="s">
        <v>573</v>
      </c>
      <c r="J106" s="333"/>
      <c r="K106" s="333"/>
      <c r="L106" s="333"/>
      <c r="M106" s="333"/>
      <c r="N106" s="333"/>
      <c r="O106" s="333"/>
    </row>
    <row r="107" spans="1:15" ht="15.75" hidden="1">
      <c r="A107" s="710"/>
      <c r="B107" s="710"/>
      <c r="C107" s="710"/>
      <c r="D107" s="710"/>
      <c r="E107" s="710"/>
      <c r="F107" s="708"/>
      <c r="G107" s="333"/>
      <c r="H107" s="333"/>
      <c r="I107" s="84"/>
      <c r="J107" s="333"/>
      <c r="K107" s="333"/>
      <c r="L107" s="333"/>
      <c r="M107" s="333"/>
      <c r="N107" s="333"/>
      <c r="O107" s="333"/>
    </row>
    <row r="108" spans="1:15" ht="15.75" hidden="1">
      <c r="A108" s="727" t="s">
        <v>576</v>
      </c>
      <c r="B108" s="728"/>
      <c r="C108" s="728"/>
      <c r="D108" s="68"/>
      <c r="E108" s="68"/>
      <c r="F108" s="729"/>
      <c r="G108" s="729"/>
      <c r="H108" s="729"/>
      <c r="I108" s="726" t="s">
        <v>577</v>
      </c>
    </row>
    <row r="109" spans="1:15">
      <c r="A109" s="333"/>
      <c r="B109" s="770"/>
      <c r="C109" s="333"/>
      <c r="D109" s="333"/>
      <c r="E109" s="333"/>
      <c r="F109" s="333"/>
      <c r="G109" s="333"/>
      <c r="H109" s="333"/>
      <c r="I109" s="333"/>
      <c r="J109" s="372"/>
      <c r="K109" s="333"/>
      <c r="L109" s="333"/>
      <c r="M109" s="333"/>
      <c r="N109" s="770"/>
      <c r="O109" s="333"/>
    </row>
    <row r="110" spans="1:15">
      <c r="A110" s="333"/>
      <c r="B110" s="333"/>
      <c r="C110" s="333"/>
      <c r="D110" s="333"/>
      <c r="E110" s="333"/>
      <c r="F110" s="333"/>
      <c r="G110" s="333"/>
      <c r="H110" s="333"/>
      <c r="I110" s="333"/>
      <c r="J110" s="333"/>
      <c r="K110" s="333"/>
      <c r="L110" s="333"/>
      <c r="M110" s="333"/>
      <c r="N110" s="333"/>
      <c r="O110" s="333"/>
    </row>
    <row r="111" spans="1:15">
      <c r="A111" s="333"/>
      <c r="B111" s="770"/>
      <c r="C111" s="333"/>
      <c r="D111" s="333"/>
      <c r="E111" s="333"/>
      <c r="F111" s="333"/>
      <c r="G111" s="333"/>
      <c r="H111" s="333"/>
      <c r="I111" s="333"/>
      <c r="J111" s="770"/>
      <c r="K111" s="333"/>
      <c r="L111" s="333"/>
      <c r="M111" s="333"/>
      <c r="N111" s="333"/>
      <c r="O111" s="333"/>
    </row>
    <row r="112" spans="1:15">
      <c r="A112" s="333"/>
      <c r="B112" s="333"/>
      <c r="C112" s="333"/>
      <c r="D112" s="333"/>
      <c r="E112" s="333"/>
      <c r="F112" s="333"/>
      <c r="G112" s="333"/>
      <c r="H112" s="333"/>
      <c r="I112" s="333"/>
      <c r="J112" s="333"/>
      <c r="K112" s="333"/>
      <c r="L112" s="333"/>
      <c r="M112" s="333"/>
      <c r="N112" s="333"/>
      <c r="O112" s="333"/>
    </row>
    <row r="113" spans="1:15">
      <c r="A113" s="333"/>
      <c r="B113" s="333"/>
      <c r="C113" s="333"/>
      <c r="D113" s="333"/>
      <c r="E113" s="333"/>
      <c r="F113" s="333"/>
      <c r="G113" s="333"/>
      <c r="H113" s="333"/>
      <c r="I113" s="333"/>
      <c r="J113" s="333"/>
      <c r="K113" s="333"/>
      <c r="L113" s="333"/>
      <c r="M113" s="333"/>
      <c r="N113" s="333"/>
      <c r="O113" s="333"/>
    </row>
    <row r="114" spans="1:15">
      <c r="A114" s="333"/>
      <c r="B114" s="333"/>
      <c r="C114" s="333"/>
      <c r="D114" s="333"/>
      <c r="E114" s="333"/>
      <c r="F114" s="333"/>
      <c r="G114" s="333"/>
      <c r="H114" s="333"/>
      <c r="I114" s="333"/>
      <c r="J114" s="333"/>
      <c r="K114" s="333"/>
      <c r="L114" s="333"/>
      <c r="M114" s="333"/>
      <c r="N114" s="333"/>
      <c r="O114" s="333"/>
    </row>
    <row r="115" spans="1:15">
      <c r="A115" s="333"/>
      <c r="B115" s="333"/>
      <c r="C115" s="333"/>
      <c r="D115" s="333"/>
      <c r="E115" s="333"/>
      <c r="F115" s="333"/>
      <c r="G115" s="333"/>
      <c r="H115" s="333"/>
      <c r="I115" s="333"/>
      <c r="J115" s="333"/>
      <c r="K115" s="333"/>
      <c r="L115" s="333"/>
      <c r="M115" s="333"/>
      <c r="N115" s="333"/>
      <c r="O115" s="333"/>
    </row>
    <row r="116" spans="1:15">
      <c r="A116" s="333"/>
      <c r="B116" s="333"/>
      <c r="C116" s="333"/>
      <c r="D116" s="333"/>
      <c r="E116" s="333"/>
      <c r="F116" s="333"/>
      <c r="G116" s="333"/>
      <c r="H116" s="333"/>
      <c r="I116" s="333"/>
      <c r="J116" s="333"/>
      <c r="K116" s="333"/>
      <c r="L116" s="333"/>
      <c r="M116" s="333"/>
      <c r="N116" s="333"/>
      <c r="O116" s="333"/>
    </row>
    <row r="117" spans="1:15">
      <c r="A117" s="333"/>
      <c r="B117" s="333"/>
      <c r="C117" s="333"/>
      <c r="D117" s="333"/>
      <c r="E117" s="333"/>
      <c r="F117" s="333"/>
      <c r="G117" s="333"/>
      <c r="H117" s="333"/>
      <c r="I117" s="333"/>
      <c r="J117" s="333"/>
      <c r="K117" s="333"/>
      <c r="L117" s="333"/>
      <c r="M117" s="333"/>
      <c r="N117" s="333"/>
      <c r="O117" s="333"/>
    </row>
  </sheetData>
  <mergeCells count="25">
    <mergeCell ref="H65:I65"/>
    <mergeCell ref="H72:I72"/>
    <mergeCell ref="H73:I73"/>
    <mergeCell ref="H74:I74"/>
    <mergeCell ref="A99:D99"/>
    <mergeCell ref="H75:I75"/>
    <mergeCell ref="H76:I76"/>
    <mergeCell ref="H78:I78"/>
    <mergeCell ref="H79:I79"/>
    <mergeCell ref="H89:I89"/>
    <mergeCell ref="H6:O8"/>
    <mergeCell ref="B28:E28"/>
    <mergeCell ref="A3:O3"/>
    <mergeCell ref="A4:O4"/>
    <mergeCell ref="H23:I24"/>
    <mergeCell ref="H25:I25"/>
    <mergeCell ref="H26:I26"/>
    <mergeCell ref="H64:I64"/>
    <mergeCell ref="H48:I48"/>
    <mergeCell ref="H30:I30"/>
    <mergeCell ref="H37:I37"/>
    <mergeCell ref="H42:I42"/>
    <mergeCell ref="H58:I58"/>
    <mergeCell ref="H62:I62"/>
    <mergeCell ref="H53:I53"/>
  </mergeCells>
  <pageMargins left="0.51181102362204722" right="0.35433070866141736" top="0.55118110236220474" bottom="0.98425196850393704" header="0.51181102362204722" footer="0.51181102362204722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11"/>
  <sheetViews>
    <sheetView defaultGridColor="0" view="pageBreakPreview" topLeftCell="A144" colorId="8" zoomScale="80" zoomScaleNormal="100" zoomScaleSheetLayoutView="80" workbookViewId="0">
      <selection activeCell="L87" sqref="L87"/>
    </sheetView>
  </sheetViews>
  <sheetFormatPr defaultRowHeight="12.75"/>
  <cols>
    <col min="1" max="1" width="3.7109375" customWidth="1"/>
    <col min="2" max="3" width="16.140625" customWidth="1"/>
    <col min="4" max="4" width="21" customWidth="1"/>
    <col min="5" max="5" width="11.140625" customWidth="1"/>
    <col min="6" max="6" width="11" customWidth="1"/>
    <col min="7" max="7" width="5.85546875" customWidth="1"/>
    <col min="8" max="8" width="10.28515625" customWidth="1"/>
    <col min="9" max="9" width="10" customWidth="1"/>
    <col min="10" max="10" width="2.7109375" customWidth="1"/>
    <col min="11" max="11" width="9.7109375" customWidth="1"/>
    <col min="12" max="12" width="2.7109375" customWidth="1"/>
    <col min="13" max="13" width="6.42578125" customWidth="1"/>
    <col min="14" max="14" width="15.5703125" customWidth="1"/>
    <col min="15" max="15" width="41.85546875" hidden="1" customWidth="1"/>
    <col min="20" max="20" width="12.7109375" customWidth="1"/>
  </cols>
  <sheetData>
    <row r="1" spans="1:27" ht="18" hidden="1" customHeight="1">
      <c r="A1" s="1096"/>
      <c r="B1" s="1096"/>
      <c r="C1" s="1096"/>
      <c r="D1" s="1096"/>
      <c r="E1" s="373"/>
      <c r="F1" s="373"/>
      <c r="G1" s="4"/>
      <c r="H1" s="4"/>
      <c r="I1" s="373"/>
      <c r="J1" s="4"/>
      <c r="K1" s="374" t="s">
        <v>662</v>
      </c>
      <c r="L1" s="4"/>
      <c r="M1" s="4"/>
      <c r="N1" s="4"/>
      <c r="O1" s="587"/>
      <c r="P1" s="1112"/>
      <c r="Q1" s="1112"/>
      <c r="R1" s="1112"/>
      <c r="S1" s="1112"/>
      <c r="T1" s="1112"/>
      <c r="U1" s="1112"/>
      <c r="V1" s="1112"/>
      <c r="W1" s="1112"/>
      <c r="X1" s="1112"/>
      <c r="Y1" s="1112"/>
      <c r="Z1" s="1112"/>
      <c r="AA1" s="1112"/>
    </row>
    <row r="2" spans="1:27" ht="20.25">
      <c r="A2" s="819"/>
      <c r="B2" s="1114"/>
      <c r="C2" s="1115"/>
      <c r="D2" s="4"/>
      <c r="E2" s="4"/>
      <c r="F2" s="4"/>
      <c r="G2" s="4"/>
      <c r="H2" s="4"/>
      <c r="I2" s="820"/>
      <c r="J2" s="4"/>
      <c r="K2" s="376"/>
      <c r="L2" s="376"/>
      <c r="M2" s="376"/>
      <c r="N2" s="4"/>
      <c r="O2" s="325"/>
      <c r="P2" s="1112"/>
      <c r="Q2" s="1112"/>
      <c r="R2" s="1112"/>
      <c r="S2" s="1112"/>
      <c r="T2" s="1112"/>
      <c r="U2" s="1112"/>
      <c r="V2" s="1112"/>
      <c r="W2" s="1112"/>
      <c r="X2" s="1112"/>
      <c r="Y2" s="1112"/>
      <c r="Z2" s="1112"/>
      <c r="AA2" s="1112"/>
    </row>
    <row r="3" spans="1:27" ht="18" customHeight="1">
      <c r="A3" s="4"/>
      <c r="B3" s="4"/>
      <c r="C3" s="1113" t="s">
        <v>655</v>
      </c>
      <c r="D3" s="1113"/>
      <c r="E3" s="1113"/>
      <c r="F3" s="1113"/>
      <c r="G3" s="1113"/>
      <c r="H3" s="1113"/>
      <c r="I3" s="1113"/>
      <c r="J3" s="1113"/>
      <c r="K3" s="1113"/>
      <c r="L3" s="4"/>
      <c r="M3" s="4"/>
      <c r="N3" s="4"/>
      <c r="O3" s="325"/>
      <c r="P3" s="1091"/>
      <c r="Q3" s="1091"/>
      <c r="R3" s="1091"/>
      <c r="S3" s="1091"/>
      <c r="T3" s="1091"/>
      <c r="U3" s="1091"/>
      <c r="V3" s="1091"/>
      <c r="W3" s="1091"/>
      <c r="X3" s="1091"/>
      <c r="Y3" s="1091"/>
      <c r="Z3" s="1091"/>
      <c r="AA3" s="1091"/>
    </row>
    <row r="4" spans="1:27" ht="15" customHeight="1">
      <c r="A4" s="4"/>
      <c r="B4" s="4"/>
      <c r="C4" s="1091" t="s">
        <v>650</v>
      </c>
      <c r="D4" s="1091"/>
      <c r="E4" s="1091"/>
      <c r="F4" s="1091"/>
      <c r="G4" s="1091"/>
      <c r="H4" s="1091"/>
      <c r="I4" s="1091"/>
      <c r="J4" s="1091"/>
      <c r="K4" s="1091"/>
      <c r="L4" s="379"/>
      <c r="M4" s="379"/>
      <c r="N4" s="4"/>
      <c r="O4" s="325"/>
      <c r="P4" s="1116"/>
      <c r="Q4" s="1116"/>
      <c r="R4" s="1116"/>
      <c r="S4" s="1116"/>
      <c r="T4" s="1116"/>
      <c r="U4" s="1116"/>
      <c r="V4" s="1116"/>
      <c r="W4" s="1116"/>
      <c r="X4" s="1116"/>
      <c r="Y4" s="1116"/>
      <c r="Z4" s="1116"/>
      <c r="AA4" s="1116"/>
    </row>
    <row r="5" spans="1:27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325"/>
    </row>
    <row r="6" spans="1:27" ht="18">
      <c r="A6" s="1106" t="s">
        <v>295</v>
      </c>
      <c r="B6" s="1106"/>
      <c r="C6" s="1106"/>
      <c r="D6" s="1106"/>
      <c r="E6" s="468"/>
      <c r="F6" s="468"/>
      <c r="G6" s="1107"/>
      <c r="H6" s="1108"/>
      <c r="I6" s="1108"/>
      <c r="J6" s="1108"/>
      <c r="K6" s="1108"/>
      <c r="L6" s="1108"/>
      <c r="M6" s="1108"/>
      <c r="N6" s="1108"/>
      <c r="O6" s="381"/>
    </row>
    <row r="7" spans="1:27" ht="18">
      <c r="A7" s="1096" t="s">
        <v>296</v>
      </c>
      <c r="B7" s="1096"/>
      <c r="C7" s="1096"/>
      <c r="D7" s="1096"/>
      <c r="E7" s="373"/>
      <c r="F7" s="373"/>
      <c r="G7" s="1120"/>
      <c r="H7" s="1120"/>
      <c r="I7" s="1120"/>
      <c r="J7" s="1120"/>
      <c r="K7" s="1120"/>
      <c r="L7" s="1120"/>
      <c r="M7" s="1120"/>
      <c r="N7" s="1120"/>
      <c r="O7" s="376"/>
      <c r="Q7" s="382"/>
    </row>
    <row r="8" spans="1:27" ht="18">
      <c r="A8" s="1096" t="s">
        <v>297</v>
      </c>
      <c r="B8" s="1096"/>
      <c r="C8" s="1096"/>
      <c r="D8" s="1096"/>
      <c r="E8" s="373"/>
      <c r="F8" s="373"/>
      <c r="G8" s="1120"/>
      <c r="H8" s="1120"/>
      <c r="I8" s="1120"/>
      <c r="J8" s="1120"/>
      <c r="K8" s="1120"/>
      <c r="L8" s="1120"/>
      <c r="M8" s="1120"/>
      <c r="N8" s="1120"/>
      <c r="O8" s="325"/>
      <c r="Q8" s="4"/>
    </row>
    <row r="9" spans="1:27" ht="18">
      <c r="A9" s="1096" t="s">
        <v>266</v>
      </c>
      <c r="B9" s="1096"/>
      <c r="C9" s="1096"/>
      <c r="D9" s="374"/>
      <c r="E9" s="374"/>
      <c r="F9" s="374"/>
      <c r="G9" s="1120"/>
      <c r="H9" s="1120"/>
      <c r="I9" s="1120"/>
      <c r="J9" s="1120"/>
      <c r="K9" s="1120"/>
      <c r="L9" s="1120"/>
      <c r="M9" s="1120"/>
      <c r="N9" s="1120"/>
      <c r="O9" s="325"/>
    </row>
    <row r="10" spans="1:27" ht="18">
      <c r="A10" s="374"/>
      <c r="B10" s="374"/>
      <c r="C10" s="374"/>
      <c r="D10" s="374"/>
      <c r="E10" s="374"/>
      <c r="F10" s="374"/>
      <c r="G10" s="374"/>
      <c r="H10" s="374"/>
      <c r="I10" s="374"/>
      <c r="J10" s="374"/>
      <c r="K10" s="374"/>
      <c r="L10" s="374"/>
      <c r="M10" s="374"/>
      <c r="N10" s="374"/>
      <c r="O10" s="329"/>
      <c r="Q10" s="376"/>
      <c r="R10" s="376"/>
      <c r="S10" s="376"/>
      <c r="T10" s="376"/>
      <c r="U10" s="376"/>
      <c r="V10" s="376"/>
      <c r="W10" s="376"/>
    </row>
    <row r="11" spans="1:27" ht="18">
      <c r="A11" s="1096" t="s">
        <v>298</v>
      </c>
      <c r="B11" s="1096"/>
      <c r="C11" s="1096"/>
      <c r="D11" s="374"/>
      <c r="E11" s="374"/>
      <c r="F11" s="374"/>
      <c r="G11" s="1096"/>
      <c r="H11" s="1096"/>
      <c r="I11" s="1096"/>
      <c r="J11" s="1096"/>
      <c r="K11" s="1096"/>
      <c r="L11" s="1096"/>
      <c r="M11" s="1096"/>
      <c r="N11" s="373"/>
      <c r="O11" s="383"/>
      <c r="Q11" s="376"/>
      <c r="R11" s="376"/>
      <c r="S11" s="376"/>
      <c r="T11" s="376"/>
      <c r="U11" s="376"/>
      <c r="V11" s="376"/>
      <c r="W11" s="376"/>
    </row>
    <row r="12" spans="1:27" ht="18">
      <c r="A12" s="1096" t="s">
        <v>299</v>
      </c>
      <c r="B12" s="1096"/>
      <c r="C12" s="1096"/>
      <c r="D12" s="1096"/>
      <c r="E12" s="373"/>
      <c r="F12" s="373"/>
      <c r="G12" s="374"/>
      <c r="H12" s="374"/>
      <c r="I12" s="374"/>
      <c r="J12" s="374"/>
      <c r="K12" s="374"/>
      <c r="L12" s="374"/>
      <c r="M12" s="374"/>
      <c r="N12" s="374"/>
      <c r="O12" s="325"/>
      <c r="Q12" s="4"/>
      <c r="R12" s="375"/>
      <c r="S12" s="4"/>
      <c r="T12" s="4"/>
      <c r="U12" s="4"/>
      <c r="V12" s="4"/>
      <c r="W12" s="4"/>
    </row>
    <row r="13" spans="1:27" ht="18.75" customHeight="1">
      <c r="A13" s="374"/>
      <c r="B13" s="374"/>
      <c r="C13" s="374"/>
      <c r="D13" s="374"/>
      <c r="E13" s="374"/>
      <c r="F13" s="374"/>
      <c r="G13" s="374"/>
      <c r="H13" s="374"/>
      <c r="I13" s="374"/>
      <c r="J13" s="374"/>
      <c r="K13" s="374"/>
      <c r="L13" s="374"/>
      <c r="M13" s="374"/>
      <c r="N13" s="374"/>
      <c r="O13" s="329"/>
    </row>
    <row r="14" spans="1:27" ht="18" customHeight="1">
      <c r="A14" s="1096" t="s">
        <v>300</v>
      </c>
      <c r="B14" s="1096"/>
      <c r="C14" s="1096"/>
      <c r="D14" s="1096"/>
      <c r="E14" s="373"/>
      <c r="F14" s="373"/>
      <c r="G14" s="1106"/>
      <c r="H14" s="1106"/>
      <c r="I14" s="1106"/>
      <c r="J14" s="1106"/>
      <c r="K14" s="1106"/>
      <c r="L14" s="1106"/>
      <c r="M14" s="1106"/>
      <c r="N14" s="1106"/>
      <c r="O14" s="383"/>
    </row>
    <row r="15" spans="1:27" ht="18">
      <c r="A15" s="373" t="s">
        <v>301</v>
      </c>
      <c r="B15" s="373"/>
      <c r="C15" s="374"/>
      <c r="D15" s="374"/>
      <c r="E15" s="374"/>
      <c r="F15" s="374"/>
      <c r="G15" s="1096" t="s">
        <v>17</v>
      </c>
      <c r="H15" s="1096"/>
      <c r="I15" s="1096"/>
      <c r="J15" s="1096"/>
      <c r="K15" s="1096"/>
      <c r="L15" s="1096"/>
      <c r="M15" s="1096"/>
      <c r="N15" s="1096"/>
      <c r="O15" s="384"/>
      <c r="S15" s="385"/>
    </row>
    <row r="16" spans="1:27" ht="18.75" thickBot="1">
      <c r="A16" s="373"/>
      <c r="B16" s="373"/>
      <c r="C16" s="374"/>
      <c r="D16" s="374"/>
      <c r="E16" s="374"/>
      <c r="F16" s="374"/>
      <c r="G16" s="386"/>
      <c r="H16" s="386"/>
      <c r="I16" s="386"/>
      <c r="J16" s="386"/>
      <c r="K16" s="386"/>
      <c r="L16" s="386"/>
      <c r="M16" s="386"/>
      <c r="N16" s="386"/>
      <c r="O16" s="384"/>
      <c r="Q16" s="4"/>
    </row>
    <row r="17" spans="1:21" ht="15">
      <c r="A17" s="387"/>
      <c r="B17" s="388"/>
      <c r="C17" s="389"/>
      <c r="D17" s="389"/>
      <c r="E17" s="481"/>
      <c r="F17" s="388"/>
      <c r="G17" s="390"/>
      <c r="H17" s="391"/>
      <c r="I17" s="388"/>
      <c r="J17" s="389"/>
      <c r="K17" s="389"/>
      <c r="L17" s="389"/>
      <c r="M17" s="392"/>
      <c r="N17" s="392"/>
      <c r="O17" s="393"/>
      <c r="Q17" s="394"/>
      <c r="R17" s="394"/>
      <c r="S17" s="394"/>
      <c r="T17" s="395"/>
      <c r="U17" s="395"/>
    </row>
    <row r="18" spans="1:21" ht="18">
      <c r="A18" s="396" t="s">
        <v>302</v>
      </c>
      <c r="B18" s="1097" t="s">
        <v>260</v>
      </c>
      <c r="C18" s="1098"/>
      <c r="D18" s="1098"/>
      <c r="E18" s="482" t="s">
        <v>418</v>
      </c>
      <c r="F18" s="469" t="s">
        <v>69</v>
      </c>
      <c r="G18" s="1121" t="s">
        <v>303</v>
      </c>
      <c r="H18" s="1122"/>
      <c r="I18" s="1123" t="s">
        <v>304</v>
      </c>
      <c r="J18" s="1110"/>
      <c r="K18" s="1110"/>
      <c r="L18" s="1110"/>
      <c r="M18" s="1124"/>
      <c r="N18" s="398" t="s">
        <v>305</v>
      </c>
      <c r="O18" s="399" t="s">
        <v>305</v>
      </c>
      <c r="Q18" s="400"/>
      <c r="R18" s="4"/>
      <c r="S18" s="4"/>
      <c r="T18" s="401"/>
      <c r="U18" s="401"/>
    </row>
    <row r="19" spans="1:21" ht="18">
      <c r="A19" s="396" t="s">
        <v>306</v>
      </c>
      <c r="B19" s="402"/>
      <c r="C19" s="4"/>
      <c r="D19" s="4"/>
      <c r="E19" s="483"/>
      <c r="F19" s="413"/>
      <c r="G19" s="1099" t="s">
        <v>307</v>
      </c>
      <c r="H19" s="1101"/>
      <c r="I19" s="1123" t="s">
        <v>308</v>
      </c>
      <c r="J19" s="1110"/>
      <c r="K19" s="1110"/>
      <c r="L19" s="1110"/>
      <c r="M19" s="1124"/>
      <c r="N19" s="398" t="s">
        <v>309</v>
      </c>
      <c r="O19" s="399" t="s">
        <v>310</v>
      </c>
      <c r="Q19" s="400"/>
      <c r="R19" s="4"/>
      <c r="S19" s="4"/>
      <c r="T19" s="401"/>
      <c r="U19" s="401"/>
    </row>
    <row r="20" spans="1:21" ht="18">
      <c r="A20" s="396"/>
      <c r="B20" s="402"/>
      <c r="C20" s="4"/>
      <c r="D20" s="4"/>
      <c r="E20" s="483"/>
      <c r="F20" s="413"/>
      <c r="G20" s="1099" t="s">
        <v>311</v>
      </c>
      <c r="H20" s="1101"/>
      <c r="I20" s="1099" t="s">
        <v>278</v>
      </c>
      <c r="J20" s="1100"/>
      <c r="K20" s="1100"/>
      <c r="L20" s="1100"/>
      <c r="M20" s="1101"/>
      <c r="N20" s="398"/>
      <c r="O20" s="399"/>
      <c r="Q20" s="400"/>
      <c r="R20" s="4"/>
      <c r="S20" s="4"/>
      <c r="T20" s="401"/>
      <c r="U20" s="401"/>
    </row>
    <row r="21" spans="1:21" ht="18">
      <c r="A21" s="396"/>
      <c r="B21" s="402"/>
      <c r="C21" s="4"/>
      <c r="D21" s="4"/>
      <c r="E21" s="483"/>
      <c r="F21" s="413"/>
      <c r="G21" s="1099" t="s">
        <v>312</v>
      </c>
      <c r="H21" s="1101"/>
      <c r="I21" s="404"/>
      <c r="J21" s="405"/>
      <c r="K21" s="405"/>
      <c r="L21" s="405"/>
      <c r="M21" s="406"/>
      <c r="N21" s="398" t="s">
        <v>34</v>
      </c>
      <c r="O21" s="399" t="s">
        <v>313</v>
      </c>
      <c r="Q21" s="400"/>
      <c r="R21" s="4"/>
      <c r="S21" s="4"/>
      <c r="T21" s="407"/>
      <c r="U21" s="407"/>
    </row>
    <row r="22" spans="1:21" ht="18">
      <c r="A22" s="396"/>
      <c r="B22" s="402"/>
      <c r="C22" s="4"/>
      <c r="D22" s="4"/>
      <c r="E22" s="483"/>
      <c r="F22" s="413"/>
      <c r="G22" s="1099" t="s">
        <v>314</v>
      </c>
      <c r="H22" s="1101"/>
      <c r="I22" s="408"/>
      <c r="J22" s="409"/>
      <c r="K22" s="409"/>
      <c r="L22" s="409"/>
      <c r="M22" s="410"/>
      <c r="N22" s="398"/>
      <c r="O22" s="399"/>
      <c r="Q22" s="4"/>
      <c r="R22" s="4"/>
      <c r="S22" s="4"/>
      <c r="T22" s="401"/>
      <c r="U22" s="401"/>
    </row>
    <row r="23" spans="1:21" ht="18">
      <c r="A23" s="396"/>
      <c r="B23" s="402"/>
      <c r="C23" s="4"/>
      <c r="D23" s="4"/>
      <c r="E23" s="483"/>
      <c r="F23" s="413"/>
      <c r="G23" s="850"/>
      <c r="H23" s="851"/>
      <c r="I23" s="408"/>
      <c r="J23" s="409"/>
      <c r="K23" s="409"/>
      <c r="L23" s="409"/>
      <c r="M23" s="410"/>
      <c r="N23" s="398"/>
      <c r="O23" s="399"/>
      <c r="Q23" s="4"/>
      <c r="R23" s="4"/>
      <c r="S23" s="4"/>
      <c r="T23" s="401"/>
      <c r="U23" s="401"/>
    </row>
    <row r="24" spans="1:21" ht="18">
      <c r="A24" s="411"/>
      <c r="B24" s="402"/>
      <c r="C24" s="4"/>
      <c r="D24" s="4"/>
      <c r="E24" s="483"/>
      <c r="F24" s="413"/>
      <c r="G24" s="1099" t="s">
        <v>315</v>
      </c>
      <c r="H24" s="1101"/>
      <c r="I24" s="408"/>
      <c r="J24" s="409"/>
      <c r="K24" s="409"/>
      <c r="L24" s="409"/>
      <c r="M24" s="410"/>
      <c r="N24" s="398"/>
      <c r="O24" s="399"/>
      <c r="Q24" s="4"/>
      <c r="R24" s="4"/>
      <c r="S24" s="4"/>
      <c r="T24" s="401"/>
      <c r="U24" s="401"/>
    </row>
    <row r="25" spans="1:21" ht="18.75" thickBot="1">
      <c r="A25" s="412"/>
      <c r="B25" s="413"/>
      <c r="C25" s="4"/>
      <c r="D25" s="4"/>
      <c r="E25" s="484"/>
      <c r="F25" s="413"/>
      <c r="G25" s="1099" t="s">
        <v>277</v>
      </c>
      <c r="H25" s="1101"/>
      <c r="I25" s="414"/>
      <c r="J25" s="415"/>
      <c r="K25" s="415"/>
      <c r="L25" s="415"/>
      <c r="M25" s="416"/>
      <c r="N25" s="417"/>
      <c r="O25" s="418"/>
      <c r="Q25" s="419"/>
      <c r="R25" s="419"/>
    </row>
    <row r="26" spans="1:21" ht="18.75" thickBot="1">
      <c r="A26" s="420">
        <v>1</v>
      </c>
      <c r="B26" s="421"/>
      <c r="C26" s="422">
        <v>2</v>
      </c>
      <c r="D26" s="423"/>
      <c r="E26" s="420">
        <v>3</v>
      </c>
      <c r="F26" s="470">
        <v>4</v>
      </c>
      <c r="G26" s="1102">
        <v>5</v>
      </c>
      <c r="H26" s="1103"/>
      <c r="I26" s="821">
        <v>6</v>
      </c>
      <c r="J26" s="822"/>
      <c r="K26" s="822">
        <v>7</v>
      </c>
      <c r="L26" s="822"/>
      <c r="M26" s="823">
        <v>8</v>
      </c>
      <c r="N26" s="424">
        <v>9</v>
      </c>
      <c r="O26" s="425">
        <v>5</v>
      </c>
      <c r="R26" s="419"/>
    </row>
    <row r="27" spans="1:21" ht="18">
      <c r="A27" s="485"/>
      <c r="B27" s="1104" t="s">
        <v>316</v>
      </c>
      <c r="C27" s="1105"/>
      <c r="D27" s="1105"/>
      <c r="E27" s="1105"/>
      <c r="F27" s="1105"/>
      <c r="G27" s="1105"/>
      <c r="H27" s="1105"/>
      <c r="I27" s="1105"/>
      <c r="J27" s="1105"/>
      <c r="K27" s="1105"/>
      <c r="L27" s="1105"/>
      <c r="M27" s="1105"/>
      <c r="N27" s="486"/>
      <c r="O27" s="426"/>
      <c r="P27" s="427"/>
      <c r="Q27" s="428"/>
      <c r="R27" s="419"/>
    </row>
    <row r="28" spans="1:21" ht="18">
      <c r="A28" s="859"/>
      <c r="B28" s="375"/>
      <c r="C28" s="375"/>
      <c r="D28" s="1132" t="s">
        <v>317</v>
      </c>
      <c r="E28" s="1112"/>
      <c r="F28" s="1112"/>
      <c r="G28" s="1133"/>
      <c r="H28" s="1133"/>
      <c r="I28" s="1133"/>
      <c r="J28" s="1133"/>
      <c r="K28" s="1133"/>
      <c r="L28" s="375"/>
      <c r="M28" s="375"/>
      <c r="N28" s="375"/>
      <c r="O28" s="429"/>
      <c r="Q28" s="419"/>
      <c r="R28" s="419"/>
    </row>
    <row r="29" spans="1:21" ht="18">
      <c r="A29" s="375"/>
      <c r="B29" s="375"/>
      <c r="C29" s="375"/>
      <c r="D29" s="1112" t="s">
        <v>318</v>
      </c>
      <c r="E29" s="1112"/>
      <c r="F29" s="1112"/>
      <c r="G29" s="1131"/>
      <c r="H29" s="1131"/>
      <c r="I29" s="1131"/>
      <c r="J29" s="1131"/>
      <c r="K29" s="1131"/>
      <c r="L29" s="375"/>
      <c r="M29" s="375"/>
      <c r="N29" s="375"/>
      <c r="O29" s="430"/>
      <c r="Q29" s="431"/>
      <c r="R29" s="431"/>
    </row>
    <row r="30" spans="1:21" ht="18">
      <c r="A30" s="378"/>
      <c r="B30" s="378"/>
      <c r="C30" s="378"/>
      <c r="D30" s="432"/>
      <c r="E30" s="432"/>
      <c r="F30" s="432"/>
      <c r="G30" s="1091" t="s">
        <v>261</v>
      </c>
      <c r="H30" s="1129"/>
      <c r="I30" s="1129"/>
      <c r="J30" s="1129"/>
      <c r="K30" s="378"/>
      <c r="L30" s="378"/>
      <c r="M30" s="378"/>
      <c r="N30" s="378"/>
      <c r="O30" s="331"/>
    </row>
    <row r="31" spans="1:21" ht="18.75">
      <c r="A31" s="380"/>
      <c r="B31" s="380"/>
      <c r="C31" s="380"/>
      <c r="D31" s="380"/>
      <c r="E31" s="380"/>
      <c r="F31" s="380"/>
      <c r="G31" s="1116" t="s">
        <v>319</v>
      </c>
      <c r="H31" s="1130"/>
      <c r="I31" s="1130"/>
      <c r="J31" s="1130"/>
      <c r="K31" s="380"/>
      <c r="L31" s="380"/>
      <c r="M31" s="380"/>
      <c r="N31" s="380"/>
      <c r="O31" s="433"/>
    </row>
    <row r="32" spans="1:21" ht="9.75" customHeight="1">
      <c r="A32" s="380"/>
      <c r="B32" s="380"/>
      <c r="C32" s="380"/>
      <c r="D32" s="380"/>
      <c r="E32" s="380"/>
      <c r="F32" s="380"/>
      <c r="G32" s="380"/>
      <c r="H32" s="487"/>
      <c r="I32" s="487"/>
      <c r="J32" s="487"/>
      <c r="K32" s="380"/>
      <c r="L32" s="380"/>
      <c r="M32" s="380"/>
      <c r="N32" s="380"/>
      <c r="O32" s="434"/>
    </row>
    <row r="33" spans="1:15" ht="9.75" customHeight="1">
      <c r="A33" s="380"/>
      <c r="B33" s="380"/>
      <c r="C33" s="380"/>
      <c r="D33" s="380"/>
      <c r="E33" s="380"/>
      <c r="F33" s="380"/>
      <c r="G33" s="380"/>
      <c r="H33" s="487"/>
      <c r="I33" s="487"/>
      <c r="J33" s="487"/>
      <c r="K33" s="380"/>
      <c r="L33" s="380"/>
      <c r="M33" s="380"/>
      <c r="N33" s="380"/>
      <c r="O33" s="434"/>
    </row>
    <row r="34" spans="1:15" ht="33" customHeight="1">
      <c r="A34" s="380"/>
      <c r="B34" s="380"/>
      <c r="C34" s="380"/>
      <c r="D34" s="380"/>
      <c r="E34" s="380"/>
      <c r="F34" s="380"/>
      <c r="G34" s="380"/>
      <c r="H34" s="487"/>
      <c r="I34" s="487"/>
      <c r="J34" s="487"/>
      <c r="K34" s="380"/>
      <c r="L34" s="380"/>
      <c r="M34" s="380"/>
      <c r="N34" s="380"/>
      <c r="O34" s="434"/>
    </row>
    <row r="35" spans="1:15" ht="36" customHeight="1">
      <c r="A35" s="435">
        <v>1</v>
      </c>
      <c r="B35" s="1094" t="s">
        <v>320</v>
      </c>
      <c r="C35" s="1088"/>
      <c r="D35" s="1089"/>
      <c r="E35" s="403" t="s">
        <v>424</v>
      </c>
      <c r="F35" s="588">
        <v>84</v>
      </c>
      <c r="G35" s="1092" t="s">
        <v>321</v>
      </c>
      <c r="H35" s="1093"/>
      <c r="I35" s="439">
        <v>31.4</v>
      </c>
      <c r="J35" s="440" t="s">
        <v>322</v>
      </c>
      <c r="K35" s="443">
        <v>84</v>
      </c>
      <c r="L35" s="440" t="s">
        <v>322</v>
      </c>
      <c r="M35" s="435">
        <v>0.9</v>
      </c>
      <c r="N35" s="489">
        <f>I35*K35*M35/1000</f>
        <v>2.3740000000000001</v>
      </c>
      <c r="O35" s="441"/>
    </row>
    <row r="36" spans="1:15" ht="53.25" customHeight="1">
      <c r="A36" s="919"/>
      <c r="B36" s="917"/>
      <c r="C36" s="918"/>
      <c r="D36" s="919"/>
      <c r="E36" s="920"/>
      <c r="F36" s="1135" t="s">
        <v>687</v>
      </c>
      <c r="G36" s="1136"/>
      <c r="H36" s="1136"/>
      <c r="I36" s="1136"/>
      <c r="J36" s="1136"/>
      <c r="K36" s="1136"/>
      <c r="L36" s="1136"/>
      <c r="M36" s="919"/>
      <c r="N36" s="489"/>
      <c r="O36" s="441"/>
    </row>
    <row r="37" spans="1:15" ht="15" customHeight="1">
      <c r="A37" s="435"/>
      <c r="B37" s="1094" t="s">
        <v>323</v>
      </c>
      <c r="C37" s="1088"/>
      <c r="D37" s="1089"/>
      <c r="E37" s="403"/>
      <c r="F37" s="1134"/>
      <c r="G37" s="1100"/>
      <c r="H37" s="1100"/>
      <c r="I37" s="1100"/>
      <c r="J37" s="1100"/>
      <c r="K37" s="1100"/>
      <c r="L37" s="373"/>
      <c r="M37" s="435"/>
      <c r="N37" s="489"/>
      <c r="O37" s="441"/>
    </row>
    <row r="38" spans="1:15" ht="9.75" customHeight="1">
      <c r="A38" s="380"/>
      <c r="B38" s="380"/>
      <c r="C38" s="380"/>
      <c r="D38" s="380"/>
      <c r="E38" s="380"/>
      <c r="F38" s="380"/>
      <c r="G38" s="380"/>
      <c r="H38" s="487"/>
      <c r="I38" s="487"/>
      <c r="J38" s="487"/>
      <c r="K38" s="380"/>
      <c r="L38" s="380"/>
      <c r="M38" s="380"/>
      <c r="N38" s="380"/>
      <c r="O38" s="434"/>
    </row>
    <row r="39" spans="1:15" ht="18">
      <c r="A39" s="435">
        <v>2</v>
      </c>
      <c r="B39" s="1094" t="s">
        <v>320</v>
      </c>
      <c r="C39" s="1088"/>
      <c r="D39" s="1089"/>
      <c r="E39" s="403" t="s">
        <v>424</v>
      </c>
      <c r="F39" s="588">
        <v>49</v>
      </c>
      <c r="G39" s="1092" t="s">
        <v>321</v>
      </c>
      <c r="H39" s="1093"/>
      <c r="I39" s="439">
        <v>33.799999999999997</v>
      </c>
      <c r="J39" s="440" t="s">
        <v>322</v>
      </c>
      <c r="K39" s="443">
        <v>49</v>
      </c>
      <c r="L39" s="440" t="s">
        <v>322</v>
      </c>
      <c r="M39" s="435">
        <v>0.9</v>
      </c>
      <c r="N39" s="489">
        <f>I39*K39*M39/1000</f>
        <v>1.4910000000000001</v>
      </c>
      <c r="O39" s="441"/>
    </row>
    <row r="40" spans="1:15" ht="18">
      <c r="A40" s="435"/>
      <c r="B40" s="1094" t="s">
        <v>324</v>
      </c>
      <c r="C40" s="1088"/>
      <c r="D40" s="1089"/>
      <c r="E40" s="403"/>
      <c r="F40" s="488"/>
      <c r="G40" s="437"/>
      <c r="H40" s="438"/>
      <c r="I40" s="442"/>
      <c r="J40" s="386"/>
      <c r="K40" s="443"/>
      <c r="L40" s="373"/>
      <c r="M40" s="435"/>
      <c r="N40" s="489"/>
      <c r="O40" s="441"/>
    </row>
    <row r="41" spans="1:15" ht="9.75" customHeight="1">
      <c r="A41" s="380"/>
      <c r="B41" s="380"/>
      <c r="C41" s="380"/>
      <c r="D41" s="380"/>
      <c r="E41" s="380"/>
      <c r="F41" s="380"/>
      <c r="G41" s="380"/>
      <c r="H41" s="487"/>
      <c r="I41" s="487"/>
      <c r="J41" s="487"/>
      <c r="K41" s="380"/>
      <c r="L41" s="380"/>
      <c r="M41" s="380"/>
      <c r="N41" s="380"/>
      <c r="O41" s="434"/>
    </row>
    <row r="42" spans="1:15" ht="18">
      <c r="A42" s="435">
        <v>3</v>
      </c>
      <c r="B42" s="1094" t="s">
        <v>320</v>
      </c>
      <c r="C42" s="1088"/>
      <c r="D42" s="1089"/>
      <c r="E42" s="403" t="s">
        <v>424</v>
      </c>
      <c r="F42" s="588">
        <v>43</v>
      </c>
      <c r="G42" s="1092" t="s">
        <v>325</v>
      </c>
      <c r="H42" s="1093"/>
      <c r="I42" s="439">
        <v>36</v>
      </c>
      <c r="J42" s="440" t="s">
        <v>322</v>
      </c>
      <c r="K42" s="443">
        <v>43</v>
      </c>
      <c r="L42" s="440" t="s">
        <v>322</v>
      </c>
      <c r="M42" s="435">
        <v>0.9</v>
      </c>
      <c r="N42" s="489">
        <f>I42*K42*M42/1000</f>
        <v>1.393</v>
      </c>
      <c r="O42" s="441"/>
    </row>
    <row r="43" spans="1:15" ht="18">
      <c r="A43" s="435"/>
      <c r="B43" s="1094" t="s">
        <v>326</v>
      </c>
      <c r="C43" s="1088"/>
      <c r="D43" s="1089"/>
      <c r="E43" s="403"/>
      <c r="F43" s="488"/>
      <c r="G43" s="437"/>
      <c r="H43" s="438"/>
      <c r="I43" s="442"/>
      <c r="J43" s="386"/>
      <c r="K43" s="443"/>
      <c r="L43" s="373"/>
      <c r="M43" s="435"/>
      <c r="N43" s="489"/>
      <c r="O43" s="441"/>
    </row>
    <row r="44" spans="1:15" ht="9.75" customHeight="1">
      <c r="A44" s="380"/>
      <c r="B44" s="380"/>
      <c r="C44" s="380"/>
      <c r="D44" s="380"/>
      <c r="E44" s="380"/>
      <c r="F44" s="380"/>
      <c r="G44" s="380"/>
      <c r="H44" s="487"/>
      <c r="I44" s="487"/>
      <c r="J44" s="487"/>
      <c r="K44" s="380"/>
      <c r="L44" s="380"/>
      <c r="M44" s="380"/>
      <c r="N44" s="380"/>
      <c r="O44" s="434"/>
    </row>
    <row r="45" spans="1:15" ht="18">
      <c r="A45" s="435">
        <v>4</v>
      </c>
      <c r="B45" s="1094" t="s">
        <v>320</v>
      </c>
      <c r="C45" s="1088"/>
      <c r="D45" s="1089"/>
      <c r="E45" s="403" t="s">
        <v>424</v>
      </c>
      <c r="F45" s="588">
        <v>22</v>
      </c>
      <c r="G45" s="1092" t="s">
        <v>325</v>
      </c>
      <c r="H45" s="1093"/>
      <c r="I45" s="439">
        <v>38.4</v>
      </c>
      <c r="J45" s="440" t="s">
        <v>322</v>
      </c>
      <c r="K45" s="443">
        <v>22</v>
      </c>
      <c r="L45" s="440" t="s">
        <v>322</v>
      </c>
      <c r="M45" s="435">
        <v>0.9</v>
      </c>
      <c r="N45" s="489">
        <f>I45*K45*M45/1000</f>
        <v>0.76</v>
      </c>
      <c r="O45" s="441"/>
    </row>
    <row r="46" spans="1:15" ht="18">
      <c r="A46" s="435"/>
      <c r="B46" s="1094" t="s">
        <v>327</v>
      </c>
      <c r="C46" s="1088"/>
      <c r="D46" s="1089"/>
      <c r="E46" s="403"/>
      <c r="F46" s="488"/>
      <c r="G46" s="437"/>
      <c r="H46" s="438"/>
      <c r="I46" s="442"/>
      <c r="J46" s="386"/>
      <c r="K46" s="443"/>
      <c r="L46" s="373"/>
      <c r="M46" s="435"/>
      <c r="N46" s="489"/>
      <c r="O46" s="441"/>
    </row>
    <row r="47" spans="1:15" ht="9" customHeight="1">
      <c r="A47" s="436"/>
      <c r="B47" s="436"/>
      <c r="C47" s="436"/>
      <c r="D47" s="436"/>
      <c r="E47" s="403"/>
      <c r="F47" s="403"/>
      <c r="G47" s="403"/>
      <c r="H47" s="403"/>
      <c r="I47" s="444"/>
      <c r="J47" s="386"/>
      <c r="K47" s="443"/>
      <c r="L47" s="373"/>
      <c r="M47" s="436"/>
      <c r="N47" s="490"/>
      <c r="O47" s="445"/>
    </row>
    <row r="48" spans="1:15" ht="18">
      <c r="A48" s="435">
        <v>5</v>
      </c>
      <c r="B48" s="1094" t="s">
        <v>328</v>
      </c>
      <c r="C48" s="1088"/>
      <c r="D48" s="1089"/>
      <c r="E48" s="403" t="s">
        <v>424</v>
      </c>
      <c r="F48" s="588"/>
      <c r="G48" s="1092" t="s">
        <v>471</v>
      </c>
      <c r="H48" s="1093"/>
      <c r="I48" s="439">
        <v>15</v>
      </c>
      <c r="J48" s="440" t="s">
        <v>322</v>
      </c>
      <c r="K48" s="443"/>
      <c r="L48" s="440"/>
      <c r="M48" s="435"/>
      <c r="N48" s="489">
        <f>I48*K48/1000</f>
        <v>0</v>
      </c>
      <c r="O48" s="441"/>
    </row>
    <row r="49" spans="1:27" ht="18">
      <c r="A49" s="435"/>
      <c r="B49" s="1094" t="s">
        <v>472</v>
      </c>
      <c r="C49" s="1088"/>
      <c r="D49" s="1089"/>
      <c r="E49" s="403"/>
      <c r="F49" s="488"/>
      <c r="G49" s="437"/>
      <c r="H49" s="438"/>
      <c r="I49" s="442"/>
      <c r="J49" s="386"/>
      <c r="K49" s="443"/>
      <c r="L49" s="373"/>
      <c r="M49" s="435"/>
      <c r="N49" s="489"/>
      <c r="O49" s="441"/>
    </row>
    <row r="50" spans="1:27" ht="9" customHeight="1">
      <c r="A50" s="436"/>
      <c r="B50" s="436"/>
      <c r="C50" s="436"/>
      <c r="D50" s="436"/>
      <c r="E50" s="403"/>
      <c r="F50" s="403"/>
      <c r="G50" s="403"/>
      <c r="H50" s="403"/>
      <c r="I50" s="444"/>
      <c r="J50" s="386"/>
      <c r="K50" s="443"/>
      <c r="L50" s="373"/>
      <c r="M50" s="436"/>
      <c r="N50" s="490"/>
      <c r="O50" s="445"/>
    </row>
    <row r="51" spans="1:27" ht="18">
      <c r="A51" s="435">
        <v>6</v>
      </c>
      <c r="B51" s="1094" t="s">
        <v>328</v>
      </c>
      <c r="C51" s="1088"/>
      <c r="D51" s="1089"/>
      <c r="E51" s="403" t="s">
        <v>424</v>
      </c>
      <c r="F51" s="588"/>
      <c r="G51" s="1092" t="s">
        <v>471</v>
      </c>
      <c r="H51" s="1093"/>
      <c r="I51" s="439">
        <v>16.399999999999999</v>
      </c>
      <c r="J51" s="440" t="s">
        <v>322</v>
      </c>
      <c r="K51" s="443"/>
      <c r="L51" s="440"/>
      <c r="M51" s="435"/>
      <c r="N51" s="489">
        <f>I51*K51/1000</f>
        <v>0</v>
      </c>
      <c r="O51" s="441"/>
    </row>
    <row r="52" spans="1:27" ht="18">
      <c r="A52" s="435"/>
      <c r="B52" s="1094" t="s">
        <v>473</v>
      </c>
      <c r="C52" s="1088"/>
      <c r="D52" s="1089"/>
      <c r="E52" s="403"/>
      <c r="F52" s="488"/>
      <c r="G52" s="437"/>
      <c r="H52" s="438"/>
      <c r="I52" s="442"/>
      <c r="J52" s="386"/>
      <c r="K52" s="443"/>
      <c r="L52" s="373"/>
      <c r="M52" s="435"/>
      <c r="N52" s="489"/>
      <c r="O52" s="441"/>
    </row>
    <row r="53" spans="1:27" ht="9" customHeight="1">
      <c r="A53" s="436"/>
      <c r="B53" s="436"/>
      <c r="C53" s="436"/>
      <c r="D53" s="436"/>
      <c r="E53" s="403"/>
      <c r="F53" s="403"/>
      <c r="G53" s="403"/>
      <c r="H53" s="403"/>
      <c r="I53" s="444"/>
      <c r="J53" s="386"/>
      <c r="K53" s="443"/>
      <c r="L53" s="373"/>
      <c r="M53" s="436"/>
      <c r="N53" s="490"/>
      <c r="O53" s="445"/>
    </row>
    <row r="54" spans="1:27" ht="18">
      <c r="A54" s="435">
        <v>7</v>
      </c>
      <c r="B54" s="1094" t="s">
        <v>329</v>
      </c>
      <c r="C54" s="1088"/>
      <c r="D54" s="1089"/>
      <c r="E54" s="403" t="s">
        <v>424</v>
      </c>
      <c r="F54" s="588"/>
      <c r="G54" s="1092" t="s">
        <v>474</v>
      </c>
      <c r="H54" s="1093"/>
      <c r="I54" s="439">
        <v>9.6999999999999993</v>
      </c>
      <c r="J54" s="440" t="s">
        <v>322</v>
      </c>
      <c r="K54" s="443"/>
      <c r="L54" s="440"/>
      <c r="M54" s="435"/>
      <c r="N54" s="489">
        <f>I54*K54/1000</f>
        <v>0</v>
      </c>
      <c r="O54" s="441"/>
    </row>
    <row r="55" spans="1:27" ht="18">
      <c r="A55" s="435"/>
      <c r="B55" s="1094" t="s">
        <v>472</v>
      </c>
      <c r="C55" s="1088"/>
      <c r="D55" s="1089"/>
      <c r="E55" s="403"/>
      <c r="F55" s="488"/>
      <c r="G55" s="437"/>
      <c r="H55" s="438"/>
      <c r="I55" s="442"/>
      <c r="J55" s="386"/>
      <c r="K55" s="443"/>
      <c r="L55" s="373"/>
      <c r="M55" s="435"/>
      <c r="N55" s="489"/>
      <c r="O55" s="441"/>
    </row>
    <row r="56" spans="1:27" ht="9" customHeight="1">
      <c r="A56" s="436"/>
      <c r="B56" s="436"/>
      <c r="C56" s="436"/>
      <c r="D56" s="436"/>
      <c r="E56" s="403"/>
      <c r="F56" s="403"/>
      <c r="G56" s="403"/>
      <c r="H56" s="403"/>
      <c r="I56" s="444"/>
      <c r="J56" s="386"/>
      <c r="K56" s="443"/>
      <c r="L56" s="373"/>
      <c r="M56" s="436"/>
      <c r="N56" s="490"/>
      <c r="O56" s="445"/>
    </row>
    <row r="57" spans="1:27" ht="18">
      <c r="A57" s="435">
        <v>8</v>
      </c>
      <c r="B57" s="1094" t="s">
        <v>329</v>
      </c>
      <c r="C57" s="1088"/>
      <c r="D57" s="1089"/>
      <c r="E57" s="403" t="s">
        <v>424</v>
      </c>
      <c r="F57" s="588"/>
      <c r="G57" s="1092" t="s">
        <v>474</v>
      </c>
      <c r="H57" s="1093"/>
      <c r="I57" s="439">
        <v>10.8</v>
      </c>
      <c r="J57" s="440" t="s">
        <v>322</v>
      </c>
      <c r="K57" s="443"/>
      <c r="L57" s="440"/>
      <c r="M57" s="435"/>
      <c r="N57" s="489">
        <f>I57*K57/1000</f>
        <v>0</v>
      </c>
      <c r="O57" s="441"/>
    </row>
    <row r="58" spans="1:27" ht="18">
      <c r="A58" s="435"/>
      <c r="B58" s="1094" t="s">
        <v>473</v>
      </c>
      <c r="C58" s="1088"/>
      <c r="D58" s="1089"/>
      <c r="E58" s="403"/>
      <c r="F58" s="488"/>
      <c r="G58" s="437"/>
      <c r="H58" s="438"/>
      <c r="I58" s="442"/>
      <c r="J58" s="386"/>
      <c r="K58" s="443"/>
      <c r="L58" s="373"/>
      <c r="M58" s="435"/>
      <c r="N58" s="489"/>
      <c r="O58" s="441"/>
    </row>
    <row r="59" spans="1:27" ht="9" customHeight="1">
      <c r="A59" s="436"/>
      <c r="B59" s="436"/>
      <c r="C59" s="436"/>
      <c r="D59" s="436"/>
      <c r="E59" s="403"/>
      <c r="F59" s="403"/>
      <c r="G59" s="403"/>
      <c r="H59" s="403"/>
      <c r="I59" s="444"/>
      <c r="J59" s="386"/>
      <c r="K59" s="443"/>
      <c r="L59" s="373"/>
      <c r="M59" s="436"/>
      <c r="N59" s="490"/>
      <c r="O59" s="445"/>
    </row>
    <row r="60" spans="1:27" ht="24.95" customHeight="1">
      <c r="A60" s="589"/>
      <c r="B60" s="1116" t="s">
        <v>330</v>
      </c>
      <c r="C60" s="1116"/>
      <c r="D60" s="1116"/>
      <c r="E60" s="380"/>
      <c r="F60" s="380"/>
      <c r="G60" s="590"/>
      <c r="H60" s="590"/>
      <c r="I60" s="590"/>
      <c r="J60" s="590"/>
      <c r="K60" s="590"/>
      <c r="L60" s="590"/>
      <c r="M60" s="591"/>
      <c r="N60" s="666">
        <f>SUM(N35:N57)</f>
        <v>6.0179999999999998</v>
      </c>
    </row>
    <row r="61" spans="1:27" ht="9" customHeight="1">
      <c r="A61" s="589"/>
      <c r="B61" s="380"/>
      <c r="C61" s="380"/>
      <c r="D61" s="380"/>
      <c r="E61" s="380"/>
      <c r="F61" s="380"/>
      <c r="G61" s="590"/>
      <c r="H61" s="590"/>
      <c r="I61" s="590"/>
      <c r="J61" s="590"/>
      <c r="K61" s="590"/>
      <c r="L61" s="590"/>
      <c r="M61" s="591"/>
      <c r="N61" s="666"/>
    </row>
    <row r="62" spans="1:27" ht="18.75">
      <c r="A62" s="589"/>
      <c r="B62" s="592"/>
      <c r="C62" s="1128" t="s">
        <v>331</v>
      </c>
      <c r="D62" s="1128"/>
      <c r="E62" s="1128"/>
      <c r="F62" s="1128"/>
      <c r="G62" s="1128"/>
      <c r="H62" s="1128"/>
      <c r="I62" s="1128"/>
      <c r="J62" s="1128"/>
      <c r="K62" s="1128"/>
      <c r="L62" s="1128"/>
      <c r="M62" s="590"/>
      <c r="N62" s="590"/>
      <c r="O62" s="433"/>
      <c r="P62" s="380"/>
      <c r="Q62" s="450"/>
      <c r="R62" s="450"/>
      <c r="S62" s="450"/>
      <c r="T62" s="450"/>
      <c r="U62" s="450"/>
      <c r="V62" s="450"/>
      <c r="W62" s="450"/>
      <c r="X62" s="450"/>
      <c r="Y62" s="450"/>
      <c r="Z62" s="450"/>
      <c r="AA62" s="450"/>
    </row>
    <row r="63" spans="1:27" ht="9.75" customHeight="1">
      <c r="A63" s="589"/>
      <c r="B63" s="592"/>
      <c r="C63" s="568"/>
      <c r="D63" s="568"/>
      <c r="E63" s="568"/>
      <c r="F63" s="568"/>
      <c r="G63" s="568"/>
      <c r="H63" s="568"/>
      <c r="I63" s="568"/>
      <c r="J63" s="568"/>
      <c r="K63" s="568"/>
      <c r="L63" s="568"/>
      <c r="M63" s="590"/>
      <c r="N63" s="590"/>
      <c r="O63" s="434"/>
      <c r="P63" s="380"/>
      <c r="Q63" s="450"/>
      <c r="R63" s="450"/>
      <c r="S63" s="450"/>
      <c r="T63" s="450"/>
      <c r="U63" s="450"/>
      <c r="V63" s="450"/>
      <c r="W63" s="450"/>
      <c r="X63" s="450"/>
      <c r="Y63" s="450"/>
      <c r="Z63" s="450"/>
      <c r="AA63" s="450"/>
    </row>
    <row r="64" spans="1:27" ht="18.75">
      <c r="A64" s="373">
        <v>9</v>
      </c>
      <c r="B64" s="1088" t="s">
        <v>332</v>
      </c>
      <c r="C64" s="1088"/>
      <c r="D64" s="1089"/>
      <c r="E64" s="667" t="s">
        <v>475</v>
      </c>
      <c r="F64" s="667">
        <v>173</v>
      </c>
      <c r="G64" s="1092" t="s">
        <v>335</v>
      </c>
      <c r="H64" s="1093"/>
      <c r="I64" s="439">
        <v>30.4</v>
      </c>
      <c r="J64" s="667" t="s">
        <v>283</v>
      </c>
      <c r="K64" s="667">
        <v>173</v>
      </c>
      <c r="L64" s="668"/>
      <c r="M64" s="824">
        <v>1</v>
      </c>
      <c r="N64" s="500">
        <f>I64*K64*M64/1000</f>
        <v>5.2590000000000003</v>
      </c>
      <c r="O64" s="434"/>
      <c r="P64" s="380"/>
      <c r="Q64" s="450"/>
      <c r="R64" s="450"/>
      <c r="S64" s="450"/>
      <c r="T64" s="450"/>
      <c r="U64" s="450"/>
      <c r="V64" s="450"/>
      <c r="W64" s="450"/>
      <c r="X64" s="450"/>
      <c r="Y64" s="450"/>
      <c r="Z64" s="450"/>
      <c r="AA64" s="450"/>
    </row>
    <row r="65" spans="1:27" ht="18.75">
      <c r="A65" s="589"/>
      <c r="B65" s="1088" t="s">
        <v>333</v>
      </c>
      <c r="C65" s="1088"/>
      <c r="D65" s="1089"/>
      <c r="E65" s="568"/>
      <c r="F65" s="568"/>
      <c r="G65" s="1092"/>
      <c r="H65" s="1093"/>
      <c r="I65" s="568"/>
      <c r="J65" s="568"/>
      <c r="K65" s="568"/>
      <c r="L65" s="568"/>
      <c r="M65" s="590"/>
      <c r="N65" s="590"/>
      <c r="O65" s="434"/>
      <c r="P65" s="380"/>
      <c r="Q65" s="450"/>
      <c r="R65" s="450"/>
      <c r="S65" s="450"/>
      <c r="T65" s="450"/>
      <c r="U65" s="450"/>
      <c r="V65" s="450"/>
      <c r="W65" s="450"/>
      <c r="X65" s="450"/>
      <c r="Y65" s="450"/>
      <c r="Z65" s="450"/>
      <c r="AA65" s="450"/>
    </row>
    <row r="66" spans="1:27" ht="9.75" customHeight="1">
      <c r="A66" s="589"/>
      <c r="B66" s="436"/>
      <c r="C66" s="436"/>
      <c r="D66" s="435"/>
      <c r="E66" s="568"/>
      <c r="F66" s="568"/>
      <c r="G66" s="568"/>
      <c r="H66" s="568"/>
      <c r="I66" s="568"/>
      <c r="J66" s="568"/>
      <c r="K66" s="568"/>
      <c r="L66" s="568"/>
      <c r="M66" s="590"/>
      <c r="N66" s="590"/>
      <c r="O66" s="434"/>
      <c r="P66" s="380"/>
      <c r="Q66" s="450"/>
      <c r="R66" s="450"/>
      <c r="S66" s="450"/>
      <c r="T66" s="450"/>
      <c r="U66" s="450"/>
      <c r="V66" s="450"/>
      <c r="W66" s="450"/>
      <c r="X66" s="450"/>
      <c r="Y66" s="450"/>
      <c r="Z66" s="450"/>
      <c r="AA66" s="450"/>
    </row>
    <row r="67" spans="1:27" ht="18">
      <c r="A67" s="435">
        <v>10</v>
      </c>
      <c r="B67" s="1088" t="s">
        <v>334</v>
      </c>
      <c r="C67" s="1088"/>
      <c r="D67" s="1089"/>
      <c r="E67" s="403" t="s">
        <v>426</v>
      </c>
      <c r="F67" s="488">
        <v>20</v>
      </c>
      <c r="G67" s="1092" t="s">
        <v>335</v>
      </c>
      <c r="H67" s="1093"/>
      <c r="I67" s="439">
        <v>22.9</v>
      </c>
      <c r="J67" s="440" t="s">
        <v>322</v>
      </c>
      <c r="K67" s="386">
        <v>20</v>
      </c>
      <c r="L67" s="440"/>
      <c r="M67" s="435"/>
      <c r="N67" s="490">
        <f>I67*K67/1000</f>
        <v>0.45800000000000002</v>
      </c>
      <c r="O67" s="446"/>
    </row>
    <row r="68" spans="1:27" ht="18">
      <c r="A68" s="492"/>
      <c r="B68" s="1092" t="s">
        <v>337</v>
      </c>
      <c r="C68" s="1100"/>
      <c r="D68" s="1093"/>
      <c r="E68" s="403" t="s">
        <v>426</v>
      </c>
      <c r="F68" s="488">
        <v>15</v>
      </c>
      <c r="G68" s="1092" t="s">
        <v>476</v>
      </c>
      <c r="H68" s="1093"/>
      <c r="I68" s="439">
        <v>30.6</v>
      </c>
      <c r="J68" s="386" t="s">
        <v>322</v>
      </c>
      <c r="K68" s="386">
        <v>15</v>
      </c>
      <c r="L68" s="373"/>
      <c r="M68" s="435"/>
      <c r="N68" s="490">
        <f>I68*K68/1000</f>
        <v>0.45900000000000002</v>
      </c>
      <c r="O68" s="446"/>
    </row>
    <row r="69" spans="1:27" ht="8.25" customHeight="1">
      <c r="A69" s="436"/>
      <c r="B69" s="436"/>
      <c r="C69" s="436"/>
      <c r="D69" s="436"/>
      <c r="E69" s="403"/>
      <c r="F69" s="403"/>
      <c r="G69" s="403"/>
      <c r="H69" s="403"/>
      <c r="I69" s="451"/>
      <c r="J69" s="440"/>
      <c r="K69" s="386"/>
      <c r="L69" s="440"/>
      <c r="M69" s="436"/>
      <c r="N69" s="490"/>
      <c r="O69" s="4"/>
    </row>
    <row r="70" spans="1:27" ht="18">
      <c r="A70" s="435">
        <v>11</v>
      </c>
      <c r="B70" s="1094" t="s">
        <v>336</v>
      </c>
      <c r="C70" s="1088"/>
      <c r="D70" s="1089"/>
      <c r="E70" s="403"/>
      <c r="F70" s="488"/>
      <c r="G70" s="1092"/>
      <c r="H70" s="1093"/>
      <c r="I70" s="439"/>
      <c r="J70" s="440"/>
      <c r="K70" s="373"/>
      <c r="L70" s="373"/>
      <c r="M70" s="435"/>
      <c r="N70" s="490"/>
      <c r="O70" s="446"/>
    </row>
    <row r="71" spans="1:27" ht="18">
      <c r="A71" s="492"/>
      <c r="B71" s="1092" t="s">
        <v>337</v>
      </c>
      <c r="C71" s="1100"/>
      <c r="D71" s="1093"/>
      <c r="E71" s="403" t="s">
        <v>427</v>
      </c>
      <c r="F71" s="488">
        <v>10</v>
      </c>
      <c r="G71" s="1092" t="s">
        <v>338</v>
      </c>
      <c r="H71" s="1093"/>
      <c r="I71" s="439">
        <v>172.5</v>
      </c>
      <c r="J71" s="386" t="s">
        <v>322</v>
      </c>
      <c r="K71" s="386">
        <v>10</v>
      </c>
      <c r="L71" s="373"/>
      <c r="M71" s="435"/>
      <c r="N71" s="490">
        <f>I71*K71/1000</f>
        <v>1.7250000000000001</v>
      </c>
      <c r="O71" s="446"/>
    </row>
    <row r="72" spans="1:27" ht="9" customHeight="1">
      <c r="A72" s="436"/>
      <c r="B72" s="436"/>
      <c r="C72" s="436"/>
      <c r="D72" s="436"/>
      <c r="E72" s="403"/>
      <c r="F72" s="403"/>
      <c r="G72" s="403"/>
      <c r="H72" s="403"/>
      <c r="I72" s="451"/>
      <c r="J72" s="440"/>
      <c r="K72" s="386"/>
      <c r="L72" s="440"/>
      <c r="M72" s="436"/>
      <c r="N72" s="490"/>
      <c r="O72" s="4"/>
    </row>
    <row r="73" spans="1:27" ht="18" customHeight="1">
      <c r="A73" s="436">
        <v>12</v>
      </c>
      <c r="B73" s="1094" t="s">
        <v>477</v>
      </c>
      <c r="C73" s="1088"/>
      <c r="D73" s="1089"/>
      <c r="E73" s="403" t="s">
        <v>425</v>
      </c>
      <c r="F73" s="593">
        <v>10</v>
      </c>
      <c r="G73" s="1092" t="s">
        <v>651</v>
      </c>
      <c r="H73" s="1093"/>
      <c r="I73" s="439">
        <v>570</v>
      </c>
      <c r="J73" s="440" t="s">
        <v>322</v>
      </c>
      <c r="K73" s="386">
        <v>10</v>
      </c>
      <c r="L73" s="440"/>
      <c r="M73" s="435"/>
      <c r="N73" s="489">
        <f>I73*K73/1000</f>
        <v>5.7</v>
      </c>
      <c r="O73" s="4"/>
    </row>
    <row r="74" spans="1:27" ht="18" customHeight="1">
      <c r="A74" s="436"/>
      <c r="B74" s="1094" t="s">
        <v>478</v>
      </c>
      <c r="C74" s="1088"/>
      <c r="D74" s="1089"/>
      <c r="E74" s="403"/>
      <c r="F74" s="403"/>
      <c r="G74" s="403"/>
      <c r="H74" s="403"/>
      <c r="I74" s="451"/>
      <c r="J74" s="440"/>
      <c r="K74" s="386"/>
      <c r="L74" s="440"/>
      <c r="M74" s="436"/>
      <c r="N74" s="490"/>
      <c r="O74" s="4"/>
    </row>
    <row r="75" spans="1:27" ht="18" customHeight="1">
      <c r="A75" s="436"/>
      <c r="B75" s="1109" t="s">
        <v>479</v>
      </c>
      <c r="C75" s="1110"/>
      <c r="D75" s="1111"/>
      <c r="E75" s="403"/>
      <c r="F75" s="403"/>
      <c r="G75" s="403"/>
      <c r="H75" s="403"/>
      <c r="I75" s="451"/>
      <c r="J75" s="440"/>
      <c r="K75" s="386"/>
      <c r="L75" s="440"/>
      <c r="M75" s="436"/>
      <c r="N75" s="490"/>
      <c r="O75" s="4"/>
    </row>
    <row r="76" spans="1:27" ht="18" customHeight="1">
      <c r="A76" s="436"/>
      <c r="B76" s="1094" t="s">
        <v>480</v>
      </c>
      <c r="C76" s="1088"/>
      <c r="D76" s="1089"/>
      <c r="E76" s="403"/>
      <c r="F76" s="403"/>
      <c r="G76" s="403"/>
      <c r="H76" s="403"/>
      <c r="I76" s="451"/>
      <c r="J76" s="440"/>
      <c r="K76" s="386"/>
      <c r="L76" s="440"/>
      <c r="M76" s="436"/>
      <c r="N76" s="490"/>
      <c r="O76" s="4"/>
    </row>
    <row r="77" spans="1:27" ht="16.5" customHeight="1">
      <c r="A77" s="436"/>
      <c r="B77" s="1094" t="s">
        <v>652</v>
      </c>
      <c r="C77" s="1088"/>
      <c r="D77" s="1089"/>
      <c r="E77" s="403"/>
      <c r="F77" s="403"/>
      <c r="G77" s="403"/>
      <c r="H77" s="403"/>
      <c r="I77" s="451"/>
      <c r="J77" s="440"/>
      <c r="K77" s="386"/>
      <c r="L77" s="440"/>
      <c r="M77" s="436"/>
      <c r="N77" s="490"/>
      <c r="O77" s="4"/>
    </row>
    <row r="78" spans="1:27" ht="9" customHeight="1">
      <c r="A78" s="436"/>
      <c r="B78" s="436"/>
      <c r="C78" s="436"/>
      <c r="D78" s="436"/>
      <c r="E78" s="403"/>
      <c r="F78" s="403"/>
      <c r="G78" s="403"/>
      <c r="H78" s="403"/>
      <c r="I78" s="451"/>
      <c r="J78" s="440"/>
      <c r="K78" s="386"/>
      <c r="L78" s="440"/>
      <c r="M78" s="436"/>
      <c r="N78" s="490"/>
      <c r="O78" s="4"/>
    </row>
    <row r="79" spans="1:27" ht="18.75">
      <c r="A79" s="589"/>
      <c r="B79" s="1116" t="s">
        <v>339</v>
      </c>
      <c r="C79" s="1116"/>
      <c r="D79" s="1116"/>
      <c r="E79" s="380"/>
      <c r="F79" s="380"/>
      <c r="G79" s="374"/>
      <c r="H79" s="374"/>
      <c r="I79" s="374"/>
      <c r="J79" s="374"/>
      <c r="K79" s="374"/>
      <c r="L79" s="374"/>
      <c r="M79" s="397"/>
      <c r="N79" s="491">
        <f>N64+N67+N68+N71+N73</f>
        <v>13.601000000000001</v>
      </c>
    </row>
    <row r="80" spans="1:27" ht="9" customHeight="1">
      <c r="A80" s="589"/>
      <c r="B80" s="380"/>
      <c r="C80" s="380"/>
      <c r="D80" s="380"/>
      <c r="E80" s="380"/>
      <c r="F80" s="380"/>
      <c r="G80" s="374"/>
      <c r="H80" s="374"/>
      <c r="I80" s="374"/>
      <c r="J80" s="374"/>
      <c r="K80" s="374"/>
      <c r="L80" s="374"/>
      <c r="M80" s="397"/>
      <c r="N80" s="491"/>
    </row>
    <row r="81" spans="1:15" s="385" customFormat="1" ht="24.95" customHeight="1">
      <c r="A81" s="373"/>
      <c r="B81" s="1113" t="s">
        <v>340</v>
      </c>
      <c r="C81" s="1091"/>
      <c r="D81" s="1091"/>
      <c r="E81" s="378"/>
      <c r="F81" s="378"/>
      <c r="G81" s="374"/>
      <c r="H81" s="374"/>
      <c r="I81" s="374"/>
      <c r="J81" s="374"/>
      <c r="K81" s="374"/>
      <c r="L81" s="374"/>
      <c r="M81" s="397"/>
      <c r="N81" s="493">
        <f>SUM(N60,N79)</f>
        <v>19.619</v>
      </c>
    </row>
    <row r="82" spans="1:15" ht="18">
      <c r="A82" s="378"/>
      <c r="B82" s="378"/>
      <c r="C82" s="378"/>
      <c r="D82" s="1091" t="s">
        <v>341</v>
      </c>
      <c r="E82" s="1091"/>
      <c r="F82" s="1091"/>
      <c r="G82" s="1091"/>
      <c r="H82" s="1091"/>
      <c r="I82" s="1091"/>
      <c r="J82" s="1091"/>
      <c r="K82" s="378"/>
      <c r="L82" s="378"/>
      <c r="M82" s="378"/>
      <c r="N82" s="378"/>
      <c r="O82" s="331"/>
    </row>
    <row r="83" spans="1:15" ht="9" customHeight="1">
      <c r="A83" s="378"/>
      <c r="B83" s="378"/>
      <c r="C83" s="378"/>
      <c r="D83" s="378"/>
      <c r="E83" s="378"/>
      <c r="F83" s="378"/>
      <c r="G83" s="378"/>
      <c r="H83" s="378"/>
      <c r="I83" s="378"/>
      <c r="J83" s="378"/>
      <c r="K83" s="378"/>
      <c r="L83" s="378"/>
      <c r="M83" s="378"/>
      <c r="N83" s="378"/>
      <c r="O83" s="452"/>
    </row>
    <row r="84" spans="1:15" ht="9.75" customHeight="1">
      <c r="A84" s="436"/>
      <c r="B84" s="436"/>
      <c r="C84" s="436"/>
      <c r="D84" s="436"/>
      <c r="E84" s="403"/>
      <c r="F84" s="403"/>
      <c r="G84" s="403"/>
      <c r="H84" s="403"/>
      <c r="I84" s="449"/>
      <c r="J84" s="386"/>
      <c r="K84" s="373"/>
      <c r="L84" s="373"/>
      <c r="M84" s="436"/>
      <c r="N84" s="490"/>
      <c r="O84" s="4"/>
    </row>
    <row r="85" spans="1:15" ht="18">
      <c r="A85" s="435">
        <v>13</v>
      </c>
      <c r="B85" s="1094" t="s">
        <v>342</v>
      </c>
      <c r="C85" s="1088"/>
      <c r="D85" s="1089"/>
      <c r="E85" s="403" t="s">
        <v>426</v>
      </c>
      <c r="F85" s="488">
        <v>12</v>
      </c>
      <c r="G85" s="1092" t="s">
        <v>343</v>
      </c>
      <c r="H85" s="1093"/>
      <c r="I85" s="439">
        <v>193</v>
      </c>
      <c r="J85" s="440" t="s">
        <v>322</v>
      </c>
      <c r="K85" s="373">
        <v>12</v>
      </c>
      <c r="L85" s="440"/>
      <c r="M85" s="435"/>
      <c r="N85" s="490">
        <f>I85*K85/1000</f>
        <v>2.3159999999999998</v>
      </c>
      <c r="O85" s="446"/>
    </row>
    <row r="86" spans="1:15" ht="18">
      <c r="A86" s="435"/>
      <c r="B86" s="1088" t="s">
        <v>481</v>
      </c>
      <c r="C86" s="1088"/>
      <c r="D86" s="1089"/>
      <c r="E86" s="403"/>
      <c r="F86" s="488"/>
      <c r="G86" s="1092"/>
      <c r="H86" s="1093"/>
      <c r="I86" s="442"/>
      <c r="J86" s="386"/>
      <c r="K86" s="373"/>
      <c r="L86" s="373"/>
      <c r="M86" s="435"/>
      <c r="N86" s="490"/>
      <c r="O86" s="446"/>
    </row>
    <row r="87" spans="1:15" ht="9.75" customHeight="1">
      <c r="A87" s="436"/>
      <c r="B87" s="436"/>
      <c r="C87" s="436"/>
      <c r="D87" s="436"/>
      <c r="E87" s="403"/>
      <c r="F87" s="403"/>
      <c r="G87" s="403"/>
      <c r="H87" s="403"/>
      <c r="I87" s="449"/>
      <c r="J87" s="386"/>
      <c r="K87" s="373"/>
      <c r="L87" s="373"/>
      <c r="M87" s="436"/>
      <c r="N87" s="490"/>
      <c r="O87" s="4"/>
    </row>
    <row r="88" spans="1:15" ht="18">
      <c r="A88" s="435">
        <v>14</v>
      </c>
      <c r="B88" s="1088" t="s">
        <v>344</v>
      </c>
      <c r="C88" s="1088"/>
      <c r="D88" s="1089"/>
      <c r="E88" s="403" t="s">
        <v>426</v>
      </c>
      <c r="F88" s="488">
        <v>12</v>
      </c>
      <c r="G88" s="1092" t="s">
        <v>345</v>
      </c>
      <c r="H88" s="1093"/>
      <c r="I88" s="439">
        <v>45.5</v>
      </c>
      <c r="J88" s="440" t="s">
        <v>322</v>
      </c>
      <c r="K88" s="373">
        <v>12</v>
      </c>
      <c r="L88" s="440"/>
      <c r="M88" s="435"/>
      <c r="N88" s="490">
        <f>I88*K88/1000</f>
        <v>0.54600000000000004</v>
      </c>
      <c r="O88" s="446"/>
    </row>
    <row r="89" spans="1:15" ht="18">
      <c r="A89" s="435"/>
      <c r="B89" s="1088" t="s">
        <v>346</v>
      </c>
      <c r="C89" s="1088"/>
      <c r="D89" s="1089"/>
      <c r="E89" s="403"/>
      <c r="F89" s="488"/>
      <c r="G89" s="1092"/>
      <c r="H89" s="1093"/>
      <c r="I89" s="442"/>
      <c r="J89" s="386"/>
      <c r="K89" s="373"/>
      <c r="L89" s="373"/>
      <c r="M89" s="435"/>
      <c r="N89" s="490"/>
      <c r="O89" s="446"/>
    </row>
    <row r="90" spans="1:15" ht="9.75" customHeight="1">
      <c r="A90" s="436"/>
      <c r="B90" s="436"/>
      <c r="C90" s="436"/>
      <c r="D90" s="436"/>
      <c r="E90" s="403"/>
      <c r="F90" s="403"/>
      <c r="G90" s="403"/>
      <c r="H90" s="403"/>
      <c r="I90" s="449"/>
      <c r="J90" s="386"/>
      <c r="K90" s="373"/>
      <c r="L90" s="373"/>
      <c r="M90" s="436"/>
      <c r="N90" s="490"/>
      <c r="O90" s="4"/>
    </row>
    <row r="91" spans="1:15" ht="18">
      <c r="A91" s="435">
        <v>15</v>
      </c>
      <c r="B91" s="1088" t="s">
        <v>347</v>
      </c>
      <c r="C91" s="1088"/>
      <c r="D91" s="1089"/>
      <c r="E91" s="403" t="s">
        <v>428</v>
      </c>
      <c r="F91" s="488">
        <v>5</v>
      </c>
      <c r="G91" s="1092" t="s">
        <v>348</v>
      </c>
      <c r="H91" s="1093"/>
      <c r="I91" s="439">
        <v>18.2</v>
      </c>
      <c r="J91" s="440" t="s">
        <v>322</v>
      </c>
      <c r="K91" s="373">
        <v>5</v>
      </c>
      <c r="L91" s="440"/>
      <c r="M91" s="435"/>
      <c r="N91" s="490">
        <f>I91*K91/1000</f>
        <v>9.0999999999999998E-2</v>
      </c>
      <c r="O91" s="446"/>
    </row>
    <row r="92" spans="1:15" ht="18">
      <c r="A92" s="435"/>
      <c r="B92" s="1088" t="s">
        <v>349</v>
      </c>
      <c r="C92" s="1088"/>
      <c r="D92" s="1089"/>
      <c r="E92" s="403"/>
      <c r="F92" s="488"/>
      <c r="G92" s="1092"/>
      <c r="H92" s="1093"/>
      <c r="I92" s="442"/>
      <c r="J92" s="386"/>
      <c r="K92" s="373"/>
      <c r="L92" s="373"/>
      <c r="M92" s="435"/>
      <c r="N92" s="490"/>
      <c r="O92" s="446"/>
    </row>
    <row r="93" spans="1:15" ht="9.9499999999999993" customHeight="1">
      <c r="A93" s="435"/>
      <c r="B93" s="397"/>
      <c r="C93" s="397"/>
      <c r="D93" s="454"/>
      <c r="E93" s="403"/>
      <c r="F93" s="488"/>
      <c r="G93" s="437"/>
      <c r="H93" s="438"/>
      <c r="I93" s="442"/>
      <c r="J93" s="386"/>
      <c r="K93" s="373"/>
      <c r="L93" s="373"/>
      <c r="M93" s="435"/>
      <c r="N93" s="490"/>
      <c r="O93" s="446"/>
    </row>
    <row r="94" spans="1:15" ht="18">
      <c r="A94" s="435">
        <v>16</v>
      </c>
      <c r="B94" s="1088" t="s">
        <v>350</v>
      </c>
      <c r="C94" s="1088"/>
      <c r="D94" s="1089"/>
      <c r="E94" s="403" t="s">
        <v>428</v>
      </c>
      <c r="F94" s="488">
        <v>4</v>
      </c>
      <c r="G94" s="1092" t="s">
        <v>351</v>
      </c>
      <c r="H94" s="1093"/>
      <c r="I94" s="439">
        <v>1.9</v>
      </c>
      <c r="J94" s="440" t="s">
        <v>322</v>
      </c>
      <c r="K94" s="373">
        <v>4</v>
      </c>
      <c r="L94" s="440"/>
      <c r="M94" s="435"/>
      <c r="N94" s="490">
        <f>I94*K94/1000</f>
        <v>8.0000000000000002E-3</v>
      </c>
      <c r="O94" s="446"/>
    </row>
    <row r="95" spans="1:15" ht="9.9499999999999993" customHeight="1">
      <c r="A95" s="435"/>
      <c r="B95" s="397"/>
      <c r="C95" s="397"/>
      <c r="D95" s="454"/>
      <c r="E95" s="403"/>
      <c r="F95" s="488"/>
      <c r="G95" s="437"/>
      <c r="H95" s="438"/>
      <c r="I95" s="442"/>
      <c r="J95" s="386"/>
      <c r="K95" s="373"/>
      <c r="L95" s="373"/>
      <c r="M95" s="435"/>
      <c r="N95" s="490"/>
      <c r="O95" s="446"/>
    </row>
    <row r="96" spans="1:15" ht="18">
      <c r="A96" s="435">
        <v>17</v>
      </c>
      <c r="B96" s="1088" t="s">
        <v>352</v>
      </c>
      <c r="C96" s="1088"/>
      <c r="D96" s="1089"/>
      <c r="E96" s="403" t="s">
        <v>429</v>
      </c>
      <c r="F96" s="488">
        <v>4</v>
      </c>
      <c r="G96" s="1092" t="s">
        <v>353</v>
      </c>
      <c r="H96" s="1093"/>
      <c r="I96" s="439">
        <v>3.4</v>
      </c>
      <c r="J96" s="440" t="s">
        <v>322</v>
      </c>
      <c r="K96" s="373">
        <v>4</v>
      </c>
      <c r="L96" s="440"/>
      <c r="M96" s="435"/>
      <c r="N96" s="490">
        <f>I96*K96/1000</f>
        <v>1.4E-2</v>
      </c>
      <c r="O96" s="446"/>
    </row>
    <row r="97" spans="1:15" ht="18">
      <c r="A97" s="592"/>
      <c r="B97" s="1088" t="s">
        <v>354</v>
      </c>
      <c r="C97" s="1088"/>
      <c r="D97" s="1089"/>
      <c r="E97" s="403"/>
      <c r="F97" s="488"/>
      <c r="G97" s="1092"/>
      <c r="H97" s="1093"/>
      <c r="I97" s="442"/>
      <c r="J97" s="386"/>
      <c r="K97" s="373"/>
      <c r="L97" s="373"/>
      <c r="M97" s="435"/>
      <c r="N97" s="490"/>
      <c r="O97" s="446"/>
    </row>
    <row r="98" spans="1:15" ht="9.9499999999999993" customHeight="1">
      <c r="A98" s="436"/>
      <c r="B98" s="397"/>
      <c r="C98" s="397"/>
      <c r="D98" s="397"/>
      <c r="E98" s="403"/>
      <c r="F98" s="403"/>
      <c r="G98" s="403"/>
      <c r="H98" s="403"/>
      <c r="I98" s="444"/>
      <c r="J98" s="386"/>
      <c r="K98" s="373"/>
      <c r="L98" s="373"/>
      <c r="M98" s="436"/>
      <c r="N98" s="490"/>
      <c r="O98" s="446"/>
    </row>
    <row r="99" spans="1:15" ht="18">
      <c r="A99" s="435">
        <v>18</v>
      </c>
      <c r="B99" s="1125" t="s">
        <v>355</v>
      </c>
      <c r="C99" s="1126"/>
      <c r="D99" s="1127"/>
      <c r="E99" s="403" t="s">
        <v>429</v>
      </c>
      <c r="F99" s="494">
        <v>3</v>
      </c>
      <c r="G99" s="1092" t="s">
        <v>356</v>
      </c>
      <c r="H99" s="1093"/>
      <c r="I99" s="439">
        <v>6.7</v>
      </c>
      <c r="J99" s="440" t="s">
        <v>322</v>
      </c>
      <c r="K99" s="373">
        <v>3</v>
      </c>
      <c r="L99" s="440"/>
      <c r="M99" s="435"/>
      <c r="N99" s="490">
        <f>I99*K99/1000</f>
        <v>0.02</v>
      </c>
      <c r="O99" s="446"/>
    </row>
    <row r="100" spans="1:15" ht="18">
      <c r="A100" s="435"/>
      <c r="B100" s="1088" t="s">
        <v>357</v>
      </c>
      <c r="C100" s="1088"/>
      <c r="D100" s="1089"/>
      <c r="E100" s="403"/>
      <c r="F100" s="488"/>
      <c r="G100" s="1092"/>
      <c r="H100" s="1093"/>
      <c r="I100" s="442"/>
      <c r="J100" s="386"/>
      <c r="K100" s="373"/>
      <c r="L100" s="373"/>
      <c r="M100" s="435"/>
      <c r="N100" s="490"/>
      <c r="O100" s="446"/>
    </row>
    <row r="101" spans="1:15" ht="18">
      <c r="A101" s="435"/>
      <c r="B101" s="1088" t="s">
        <v>358</v>
      </c>
      <c r="C101" s="1088"/>
      <c r="D101" s="1089"/>
      <c r="E101" s="403"/>
      <c r="F101" s="488"/>
      <c r="G101" s="1092"/>
      <c r="H101" s="1093"/>
      <c r="I101" s="453"/>
      <c r="J101" s="386"/>
      <c r="K101" s="373"/>
      <c r="L101" s="373"/>
      <c r="M101" s="435"/>
      <c r="N101" s="490"/>
      <c r="O101" s="446"/>
    </row>
    <row r="102" spans="1:15" ht="9.9499999999999993" customHeight="1">
      <c r="A102" s="435"/>
      <c r="B102" s="397"/>
      <c r="C102" s="397"/>
      <c r="D102" s="454"/>
      <c r="E102" s="403"/>
      <c r="F102" s="488"/>
      <c r="G102" s="437"/>
      <c r="H102" s="438"/>
      <c r="I102" s="442"/>
      <c r="J102" s="386"/>
      <c r="K102" s="373"/>
      <c r="L102" s="373"/>
      <c r="M102" s="435"/>
      <c r="N102" s="490"/>
      <c r="O102" s="446"/>
    </row>
    <row r="103" spans="1:15" ht="18">
      <c r="A103" s="435">
        <v>19</v>
      </c>
      <c r="B103" s="1088" t="s">
        <v>359</v>
      </c>
      <c r="C103" s="1088"/>
      <c r="D103" s="1089"/>
      <c r="E103" s="403" t="s">
        <v>429</v>
      </c>
      <c r="F103" s="488">
        <v>3</v>
      </c>
      <c r="G103" s="1092" t="s">
        <v>539</v>
      </c>
      <c r="H103" s="1093"/>
      <c r="I103" s="439">
        <v>8.6</v>
      </c>
      <c r="J103" s="440" t="s">
        <v>322</v>
      </c>
      <c r="K103" s="373">
        <v>3</v>
      </c>
      <c r="L103" s="440"/>
      <c r="M103" s="435"/>
      <c r="N103" s="490">
        <f>I103*K103/1000</f>
        <v>2.5999999999999999E-2</v>
      </c>
      <c r="O103" s="446"/>
    </row>
    <row r="104" spans="1:15" ht="9.9499999999999993" customHeight="1">
      <c r="A104" s="435"/>
      <c r="B104" s="397"/>
      <c r="C104" s="397"/>
      <c r="D104" s="454"/>
      <c r="E104" s="403"/>
      <c r="F104" s="488"/>
      <c r="G104" s="437"/>
      <c r="H104" s="438"/>
      <c r="I104" s="442"/>
      <c r="J104" s="386"/>
      <c r="K104" s="373"/>
      <c r="L104" s="373"/>
      <c r="M104" s="435"/>
      <c r="N104" s="490"/>
      <c r="O104" s="446"/>
    </row>
    <row r="105" spans="1:15" ht="18">
      <c r="A105" s="435">
        <v>20</v>
      </c>
      <c r="B105" s="1094" t="s">
        <v>361</v>
      </c>
      <c r="C105" s="1088"/>
      <c r="D105" s="1089"/>
      <c r="E105" s="403" t="s">
        <v>429</v>
      </c>
      <c r="F105" s="488">
        <v>3</v>
      </c>
      <c r="G105" s="1092" t="s">
        <v>360</v>
      </c>
      <c r="H105" s="1093"/>
      <c r="I105" s="439">
        <v>18.2</v>
      </c>
      <c r="J105" s="440" t="s">
        <v>322</v>
      </c>
      <c r="K105" s="373">
        <v>3</v>
      </c>
      <c r="L105" s="440"/>
      <c r="M105" s="435"/>
      <c r="N105" s="490">
        <f>I105*K105/1000</f>
        <v>5.5E-2</v>
      </c>
      <c r="O105" s="446"/>
    </row>
    <row r="106" spans="1:15" ht="18">
      <c r="A106" s="435"/>
      <c r="B106" s="1088" t="s">
        <v>362</v>
      </c>
      <c r="C106" s="1088"/>
      <c r="D106" s="1089"/>
      <c r="E106" s="403"/>
      <c r="F106" s="488"/>
      <c r="G106" s="1092"/>
      <c r="H106" s="1093"/>
      <c r="I106" s="442"/>
      <c r="J106" s="386"/>
      <c r="K106" s="373"/>
      <c r="L106" s="373"/>
      <c r="M106" s="435"/>
      <c r="N106" s="490"/>
      <c r="O106" s="446"/>
    </row>
    <row r="107" spans="1:15" ht="9.9499999999999993" customHeight="1">
      <c r="A107" s="435"/>
      <c r="B107" s="397"/>
      <c r="C107" s="397"/>
      <c r="D107" s="454"/>
      <c r="E107" s="403"/>
      <c r="F107" s="488"/>
      <c r="G107" s="437"/>
      <c r="H107" s="438"/>
      <c r="I107" s="442"/>
      <c r="J107" s="386"/>
      <c r="K107" s="373"/>
      <c r="L107" s="373"/>
      <c r="M107" s="435"/>
      <c r="N107" s="490"/>
      <c r="O107" s="446"/>
    </row>
    <row r="108" spans="1:15" ht="15.75" customHeight="1">
      <c r="A108" s="435">
        <v>21</v>
      </c>
      <c r="B108" s="1088" t="s">
        <v>482</v>
      </c>
      <c r="C108" s="1088"/>
      <c r="D108" s="1089"/>
      <c r="E108" s="403" t="s">
        <v>428</v>
      </c>
      <c r="F108" s="488">
        <v>2</v>
      </c>
      <c r="G108" s="1092" t="s">
        <v>483</v>
      </c>
      <c r="H108" s="1093"/>
      <c r="I108" s="439">
        <v>3.8</v>
      </c>
      <c r="J108" s="440" t="s">
        <v>322</v>
      </c>
      <c r="K108" s="373">
        <v>2</v>
      </c>
      <c r="L108" s="440"/>
      <c r="M108" s="435"/>
      <c r="N108" s="490">
        <f>I108*K108/1000</f>
        <v>8.0000000000000002E-3</v>
      </c>
      <c r="O108" s="446"/>
    </row>
    <row r="109" spans="1:15" ht="9.9499999999999993" customHeight="1">
      <c r="A109" s="435"/>
      <c r="B109" s="397"/>
      <c r="C109" s="397"/>
      <c r="D109" s="454"/>
      <c r="E109" s="403"/>
      <c r="F109" s="488"/>
      <c r="G109" s="437"/>
      <c r="H109" s="438"/>
      <c r="I109" s="442"/>
      <c r="J109" s="386"/>
      <c r="K109" s="373"/>
      <c r="L109" s="373"/>
      <c r="M109" s="435"/>
      <c r="N109" s="490"/>
      <c r="O109" s="446"/>
    </row>
    <row r="110" spans="1:15" ht="15" customHeight="1">
      <c r="A110" s="435">
        <v>22</v>
      </c>
      <c r="B110" s="1088" t="s">
        <v>484</v>
      </c>
      <c r="C110" s="1088"/>
      <c r="D110" s="1089"/>
      <c r="E110" s="403" t="s">
        <v>428</v>
      </c>
      <c r="F110" s="488">
        <v>2</v>
      </c>
      <c r="G110" s="1092" t="s">
        <v>430</v>
      </c>
      <c r="H110" s="1093"/>
      <c r="I110" s="439">
        <v>48.8</v>
      </c>
      <c r="J110" s="440" t="s">
        <v>322</v>
      </c>
      <c r="K110" s="373">
        <v>2</v>
      </c>
      <c r="L110" s="440"/>
      <c r="M110" s="435"/>
      <c r="N110" s="490">
        <f>I110*K110/1000</f>
        <v>9.8000000000000004E-2</v>
      </c>
      <c r="O110" s="446"/>
    </row>
    <row r="111" spans="1:15" ht="9.9499999999999993" customHeight="1">
      <c r="A111" s="435"/>
      <c r="B111" s="397"/>
      <c r="C111" s="397"/>
      <c r="D111" s="454"/>
      <c r="E111" s="403"/>
      <c r="F111" s="488"/>
      <c r="G111" s="437"/>
      <c r="H111" s="438"/>
      <c r="I111" s="442"/>
      <c r="J111" s="386"/>
      <c r="K111" s="373"/>
      <c r="L111" s="373"/>
      <c r="M111" s="435"/>
      <c r="N111" s="490"/>
      <c r="O111" s="446"/>
    </row>
    <row r="112" spans="1:15" ht="18">
      <c r="A112" s="435">
        <v>23</v>
      </c>
      <c r="B112" s="1088" t="s">
        <v>363</v>
      </c>
      <c r="C112" s="1088"/>
      <c r="D112" s="1089"/>
      <c r="E112" s="403" t="s">
        <v>428</v>
      </c>
      <c r="F112" s="488">
        <v>2</v>
      </c>
      <c r="G112" s="1092" t="s">
        <v>364</v>
      </c>
      <c r="H112" s="1093"/>
      <c r="I112" s="439">
        <v>45.7</v>
      </c>
      <c r="J112" s="440" t="s">
        <v>322</v>
      </c>
      <c r="K112" s="373">
        <v>2</v>
      </c>
      <c r="L112" s="440"/>
      <c r="M112" s="435"/>
      <c r="N112" s="490">
        <f>I112*K112/1000</f>
        <v>9.0999999999999998E-2</v>
      </c>
      <c r="O112" s="446"/>
    </row>
    <row r="113" spans="1:15" ht="9.9499999999999993" customHeight="1">
      <c r="A113" s="435"/>
      <c r="B113" s="397"/>
      <c r="C113" s="397"/>
      <c r="D113" s="454"/>
      <c r="E113" s="403"/>
      <c r="F113" s="488"/>
      <c r="G113" s="437"/>
      <c r="H113" s="438"/>
      <c r="I113" s="442"/>
      <c r="J113" s="386"/>
      <c r="K113" s="373"/>
      <c r="L113" s="373"/>
      <c r="M113" s="435"/>
      <c r="N113" s="490"/>
      <c r="O113" s="446"/>
    </row>
    <row r="114" spans="1:15" ht="20.25">
      <c r="A114" s="435">
        <v>24</v>
      </c>
      <c r="B114" s="1117" t="s">
        <v>365</v>
      </c>
      <c r="C114" s="1118"/>
      <c r="D114" s="1119"/>
      <c r="E114" s="403" t="s">
        <v>428</v>
      </c>
      <c r="F114" s="495">
        <f>K114</f>
        <v>0</v>
      </c>
      <c r="G114" s="1092" t="s">
        <v>366</v>
      </c>
      <c r="H114" s="1093"/>
      <c r="I114" s="439">
        <v>5.3</v>
      </c>
      <c r="J114" s="440" t="s">
        <v>322</v>
      </c>
      <c r="K114" s="373"/>
      <c r="L114" s="440"/>
      <c r="M114" s="435"/>
      <c r="N114" s="490">
        <f>I114*K114/1000</f>
        <v>0</v>
      </c>
      <c r="O114" s="446"/>
    </row>
    <row r="115" spans="1:15" ht="9.9499999999999993" customHeight="1">
      <c r="A115" s="435"/>
      <c r="B115" s="397"/>
      <c r="C115" s="397"/>
      <c r="D115" s="454"/>
      <c r="E115" s="403"/>
      <c r="F115" s="488"/>
      <c r="G115" s="437"/>
      <c r="H115" s="438"/>
      <c r="I115" s="442"/>
      <c r="J115" s="386"/>
      <c r="K115" s="373"/>
      <c r="L115" s="373"/>
      <c r="M115" s="435"/>
      <c r="N115" s="490"/>
      <c r="O115" s="446"/>
    </row>
    <row r="116" spans="1:15" ht="18">
      <c r="A116" s="435">
        <v>25</v>
      </c>
      <c r="B116" s="1094" t="s">
        <v>367</v>
      </c>
      <c r="C116" s="1088"/>
      <c r="D116" s="1089"/>
      <c r="E116" s="403" t="s">
        <v>429</v>
      </c>
      <c r="F116" s="488">
        <f>K116</f>
        <v>0</v>
      </c>
      <c r="G116" s="1092" t="s">
        <v>368</v>
      </c>
      <c r="H116" s="1093"/>
      <c r="I116" s="439">
        <v>7.7</v>
      </c>
      <c r="J116" s="440" t="s">
        <v>322</v>
      </c>
      <c r="K116" s="373"/>
      <c r="L116" s="440"/>
      <c r="M116" s="435"/>
      <c r="N116" s="490">
        <f>I116*K116/1000</f>
        <v>0</v>
      </c>
      <c r="O116" s="446"/>
    </row>
    <row r="117" spans="1:15" ht="18">
      <c r="A117" s="435"/>
      <c r="B117" s="1094" t="s">
        <v>369</v>
      </c>
      <c r="C117" s="1088"/>
      <c r="D117" s="1089"/>
      <c r="E117" s="403"/>
      <c r="F117" s="488"/>
      <c r="G117" s="437"/>
      <c r="H117" s="438"/>
      <c r="I117" s="439"/>
      <c r="J117" s="440"/>
      <c r="K117" s="373"/>
      <c r="L117" s="440"/>
      <c r="M117" s="435"/>
      <c r="N117" s="490"/>
      <c r="O117" s="446"/>
    </row>
    <row r="118" spans="1:15" ht="9.9499999999999993" customHeight="1">
      <c r="A118" s="435"/>
      <c r="B118" s="397"/>
      <c r="C118" s="397"/>
      <c r="D118" s="454"/>
      <c r="E118" s="397"/>
      <c r="F118" s="496"/>
      <c r="G118" s="437"/>
      <c r="H118" s="438"/>
      <c r="I118" s="442"/>
      <c r="J118" s="386"/>
      <c r="K118" s="373"/>
      <c r="L118" s="373"/>
      <c r="M118" s="435"/>
      <c r="N118" s="490"/>
      <c r="O118" s="446"/>
    </row>
    <row r="119" spans="1:15" ht="18">
      <c r="A119" s="435">
        <v>26</v>
      </c>
      <c r="B119" s="1094" t="s">
        <v>370</v>
      </c>
      <c r="C119" s="1088"/>
      <c r="D119" s="1089"/>
      <c r="E119" s="403" t="s">
        <v>429</v>
      </c>
      <c r="F119" s="488">
        <v>2</v>
      </c>
      <c r="G119" s="1092" t="s">
        <v>371</v>
      </c>
      <c r="H119" s="1093"/>
      <c r="I119" s="439">
        <v>4.9000000000000004</v>
      </c>
      <c r="J119" s="440" t="s">
        <v>322</v>
      </c>
      <c r="K119" s="373">
        <v>2</v>
      </c>
      <c r="L119" s="440"/>
      <c r="M119" s="435"/>
      <c r="N119" s="490">
        <f>I119*K119/1000</f>
        <v>0.01</v>
      </c>
      <c r="O119" s="446"/>
    </row>
    <row r="120" spans="1:15" ht="18">
      <c r="A120" s="435"/>
      <c r="B120" s="1094" t="s">
        <v>372</v>
      </c>
      <c r="C120" s="1088"/>
      <c r="D120" s="1089"/>
      <c r="E120" s="403"/>
      <c r="F120" s="488"/>
      <c r="G120" s="1092"/>
      <c r="H120" s="1093"/>
      <c r="I120" s="442"/>
      <c r="J120" s="386"/>
      <c r="K120" s="373"/>
      <c r="L120" s="373"/>
      <c r="M120" s="435"/>
      <c r="N120" s="490"/>
      <c r="O120" s="446"/>
    </row>
    <row r="121" spans="1:15" ht="24.95" customHeight="1">
      <c r="A121" s="1091" t="s">
        <v>373</v>
      </c>
      <c r="B121" s="1091"/>
      <c r="C121" s="1091"/>
      <c r="D121" s="1091"/>
      <c r="E121" s="378"/>
      <c r="F121" s="378"/>
      <c r="G121" s="374"/>
      <c r="H121" s="374"/>
      <c r="I121" s="374"/>
      <c r="J121" s="374"/>
      <c r="K121" s="374"/>
      <c r="L121" s="374"/>
      <c r="M121" s="397"/>
      <c r="N121" s="493">
        <f>SUM(N84:N119)</f>
        <v>3.2829999999999999</v>
      </c>
    </row>
    <row r="122" spans="1:15" ht="18">
      <c r="A122" s="378"/>
      <c r="B122" s="378"/>
      <c r="C122" s="378"/>
      <c r="D122" s="1091" t="s">
        <v>374</v>
      </c>
      <c r="E122" s="1091"/>
      <c r="F122" s="1091"/>
      <c r="G122" s="1091"/>
      <c r="H122" s="1091"/>
      <c r="I122" s="1091"/>
      <c r="J122" s="1091"/>
      <c r="K122" s="378"/>
      <c r="L122" s="378"/>
      <c r="M122" s="378"/>
      <c r="N122" s="378"/>
      <c r="O122" s="331"/>
    </row>
    <row r="123" spans="1:15" ht="20.25" customHeight="1">
      <c r="A123" s="435">
        <v>27</v>
      </c>
      <c r="B123" s="1088" t="s">
        <v>375</v>
      </c>
      <c r="C123" s="1088"/>
      <c r="D123" s="1089"/>
      <c r="E123" s="403" t="s">
        <v>424</v>
      </c>
      <c r="F123" s="594">
        <f>K123</f>
        <v>198</v>
      </c>
      <c r="G123" s="1094" t="s">
        <v>376</v>
      </c>
      <c r="H123" s="1089"/>
      <c r="I123" s="455">
        <v>8.1999999999999993</v>
      </c>
      <c r="J123" s="440" t="s">
        <v>322</v>
      </c>
      <c r="K123" s="443">
        <f>SUM(K35:K57)</f>
        <v>198</v>
      </c>
      <c r="L123" s="590"/>
      <c r="M123" s="595"/>
      <c r="N123" s="490">
        <f>I123*K123/1000</f>
        <v>1.6240000000000001</v>
      </c>
    </row>
    <row r="124" spans="1:15" ht="9.9499999999999993" customHeight="1">
      <c r="A124" s="435"/>
      <c r="B124" s="397"/>
      <c r="C124" s="397"/>
      <c r="D124" s="454"/>
      <c r="E124" s="403"/>
      <c r="F124" s="437"/>
      <c r="G124" s="403"/>
      <c r="H124" s="438"/>
      <c r="I124" s="442"/>
      <c r="J124" s="386"/>
      <c r="K124" s="373"/>
      <c r="L124" s="373"/>
      <c r="M124" s="435"/>
      <c r="N124" s="490"/>
      <c r="O124" s="446"/>
    </row>
    <row r="125" spans="1:15" ht="18.75" customHeight="1">
      <c r="A125" s="435">
        <v>28</v>
      </c>
      <c r="B125" s="1088" t="s">
        <v>377</v>
      </c>
      <c r="C125" s="1088"/>
      <c r="D125" s="1089"/>
      <c r="E125" s="403" t="s">
        <v>425</v>
      </c>
      <c r="F125" s="437">
        <f>K125</f>
        <v>173</v>
      </c>
      <c r="G125" s="1094" t="s">
        <v>378</v>
      </c>
      <c r="H125" s="1089"/>
      <c r="I125" s="455">
        <v>8.1</v>
      </c>
      <c r="J125" s="440" t="s">
        <v>322</v>
      </c>
      <c r="K125" s="373">
        <f>K64</f>
        <v>173</v>
      </c>
      <c r="L125" s="590"/>
      <c r="M125" s="595"/>
      <c r="N125" s="490">
        <f>I125*K125/1000</f>
        <v>1.401</v>
      </c>
      <c r="O125" s="4"/>
    </row>
    <row r="126" spans="1:15" ht="19.5" customHeight="1">
      <c r="A126" s="435"/>
      <c r="B126" s="1088" t="s">
        <v>379</v>
      </c>
      <c r="C126" s="1088"/>
      <c r="D126" s="1089"/>
      <c r="E126" s="403"/>
      <c r="F126" s="437"/>
      <c r="G126" s="403"/>
      <c r="H126" s="438"/>
      <c r="I126" s="444"/>
      <c r="J126" s="386"/>
      <c r="K126" s="373"/>
      <c r="L126" s="373"/>
      <c r="M126" s="435"/>
      <c r="N126" s="490"/>
      <c r="O126" s="4"/>
    </row>
    <row r="127" spans="1:15" ht="9.9499999999999993" customHeight="1">
      <c r="A127" s="435"/>
      <c r="B127" s="397"/>
      <c r="C127" s="397"/>
      <c r="D127" s="454"/>
      <c r="E127" s="403"/>
      <c r="F127" s="437"/>
      <c r="G127" s="403"/>
      <c r="H127" s="438"/>
      <c r="I127" s="444"/>
      <c r="J127" s="386"/>
      <c r="K127" s="373"/>
      <c r="L127" s="373"/>
      <c r="M127" s="435"/>
      <c r="N127" s="490"/>
      <c r="O127" s="4"/>
    </row>
    <row r="128" spans="1:15" ht="19.5" customHeight="1">
      <c r="A128" s="435">
        <v>29</v>
      </c>
      <c r="B128" s="1094" t="s">
        <v>380</v>
      </c>
      <c r="C128" s="1088"/>
      <c r="D128" s="1089"/>
      <c r="E128" s="403"/>
      <c r="F128" s="437"/>
      <c r="G128" s="1094"/>
      <c r="H128" s="1089"/>
      <c r="I128" s="590"/>
      <c r="J128" s="590"/>
      <c r="K128" s="590"/>
      <c r="L128" s="590"/>
      <c r="M128" s="595"/>
      <c r="N128" s="590"/>
    </row>
    <row r="129" spans="1:15" ht="20.25" customHeight="1">
      <c r="A129" s="596"/>
      <c r="B129" s="1088" t="s">
        <v>381</v>
      </c>
      <c r="C129" s="1088"/>
      <c r="D129" s="1089"/>
      <c r="E129" s="403"/>
      <c r="F129" s="437"/>
      <c r="G129" s="590"/>
      <c r="H129" s="597"/>
      <c r="I129" s="590"/>
      <c r="J129" s="590"/>
      <c r="K129" s="590"/>
      <c r="L129" s="590"/>
      <c r="M129" s="595"/>
      <c r="N129" s="590"/>
    </row>
    <row r="130" spans="1:15" ht="18" customHeight="1">
      <c r="A130" s="596"/>
      <c r="B130" s="1100" t="s">
        <v>382</v>
      </c>
      <c r="C130" s="1100"/>
      <c r="D130" s="1093"/>
      <c r="E130" s="403" t="s">
        <v>431</v>
      </c>
      <c r="F130" s="437">
        <f>K130</f>
        <v>10</v>
      </c>
      <c r="G130" s="1094" t="s">
        <v>383</v>
      </c>
      <c r="H130" s="1089"/>
      <c r="I130" s="455">
        <v>38.299999999999997</v>
      </c>
      <c r="J130" s="440" t="s">
        <v>322</v>
      </c>
      <c r="K130" s="373">
        <f>K71</f>
        <v>10</v>
      </c>
      <c r="L130" s="590"/>
      <c r="M130" s="595"/>
      <c r="N130" s="490">
        <f>I130*K130/1000</f>
        <v>0.38300000000000001</v>
      </c>
    </row>
    <row r="131" spans="1:15" ht="9.9499999999999993" customHeight="1">
      <c r="A131" s="435"/>
      <c r="B131" s="397"/>
      <c r="C131" s="397"/>
      <c r="D131" s="454"/>
      <c r="E131" s="403"/>
      <c r="F131" s="437"/>
      <c r="G131" s="403"/>
      <c r="H131" s="438"/>
      <c r="I131" s="442"/>
      <c r="J131" s="386"/>
      <c r="K131" s="373"/>
      <c r="L131" s="373"/>
      <c r="M131" s="435"/>
      <c r="N131" s="490"/>
      <c r="O131" s="446"/>
    </row>
    <row r="132" spans="1:15" ht="20.25" customHeight="1">
      <c r="A132" s="435">
        <v>30</v>
      </c>
      <c r="B132" s="1088" t="s">
        <v>384</v>
      </c>
      <c r="C132" s="1088"/>
      <c r="D132" s="1089"/>
      <c r="E132" s="403"/>
      <c r="F132" s="437"/>
      <c r="G132" s="1094" t="s">
        <v>385</v>
      </c>
      <c r="H132" s="1089"/>
      <c r="I132" s="448">
        <f>SUM(N85,N88,N91,N103)*1000</f>
        <v>2979</v>
      </c>
      <c r="J132" s="440" t="s">
        <v>322</v>
      </c>
      <c r="K132" s="456">
        <v>0.2</v>
      </c>
      <c r="L132" s="590"/>
      <c r="M132" s="595"/>
      <c r="N132" s="490">
        <f>I132*K132/1000</f>
        <v>0.59599999999999997</v>
      </c>
    </row>
    <row r="133" spans="1:15" ht="20.25" customHeight="1">
      <c r="A133" s="596"/>
      <c r="B133" s="1088" t="s">
        <v>386</v>
      </c>
      <c r="C133" s="1088"/>
      <c r="D133" s="1089"/>
      <c r="E133" s="436"/>
      <c r="F133" s="471"/>
      <c r="G133" s="590"/>
      <c r="H133" s="597"/>
      <c r="I133" s="590"/>
      <c r="J133" s="590"/>
      <c r="K133" s="589"/>
      <c r="L133" s="590"/>
      <c r="M133" s="595"/>
      <c r="N133" s="490"/>
    </row>
    <row r="134" spans="1:15" ht="9.75" hidden="1" customHeight="1">
      <c r="A134" s="436"/>
      <c r="B134" s="397"/>
      <c r="C134" s="397"/>
      <c r="D134" s="397"/>
      <c r="E134" s="397"/>
      <c r="F134" s="497"/>
      <c r="G134" s="403"/>
      <c r="H134" s="403"/>
      <c r="I134" s="444"/>
      <c r="J134" s="386"/>
      <c r="K134" s="373"/>
      <c r="L134" s="373"/>
      <c r="M134" s="436"/>
      <c r="N134" s="490"/>
      <c r="O134" s="446"/>
    </row>
    <row r="135" spans="1:15" ht="9.9499999999999993" customHeight="1">
      <c r="A135" s="596"/>
      <c r="B135" s="436"/>
      <c r="C135" s="436"/>
      <c r="D135" s="435"/>
      <c r="E135" s="436"/>
      <c r="F135" s="471"/>
      <c r="G135" s="590"/>
      <c r="H135" s="597"/>
      <c r="I135" s="590"/>
      <c r="J135" s="590"/>
      <c r="K135" s="589"/>
      <c r="L135" s="590"/>
      <c r="M135" s="595"/>
      <c r="N135" s="490"/>
    </row>
    <row r="136" spans="1:15" ht="20.25" customHeight="1">
      <c r="A136" s="435">
        <v>31</v>
      </c>
      <c r="B136" s="1088" t="s">
        <v>384</v>
      </c>
      <c r="C136" s="1088"/>
      <c r="D136" s="1089"/>
      <c r="E136" s="436"/>
      <c r="F136" s="471"/>
      <c r="G136" s="1094" t="s">
        <v>387</v>
      </c>
      <c r="H136" s="1089"/>
      <c r="I136" s="448">
        <f>SUM(N94,N96,N99)*1000</f>
        <v>42</v>
      </c>
      <c r="J136" s="440" t="s">
        <v>322</v>
      </c>
      <c r="K136" s="456">
        <v>0.15</v>
      </c>
      <c r="L136" s="590"/>
      <c r="M136" s="595"/>
      <c r="N136" s="490">
        <f>I136*K136/1000</f>
        <v>6.0000000000000001E-3</v>
      </c>
    </row>
    <row r="137" spans="1:15" ht="20.25" customHeight="1">
      <c r="A137" s="596"/>
      <c r="B137" s="1088" t="s">
        <v>388</v>
      </c>
      <c r="C137" s="1088"/>
      <c r="D137" s="1089"/>
      <c r="E137" s="436"/>
      <c r="F137" s="471"/>
      <c r="G137" s="590"/>
      <c r="H137" s="597"/>
      <c r="I137" s="590"/>
      <c r="J137" s="590"/>
      <c r="K137" s="589"/>
      <c r="L137" s="590"/>
      <c r="M137" s="595"/>
      <c r="N137" s="490"/>
    </row>
    <row r="138" spans="1:15" ht="9.9499999999999993" customHeight="1">
      <c r="A138" s="435"/>
      <c r="B138" s="397"/>
      <c r="C138" s="397"/>
      <c r="D138" s="454"/>
      <c r="E138" s="397"/>
      <c r="F138" s="497"/>
      <c r="G138" s="403"/>
      <c r="H138" s="438"/>
      <c r="I138" s="442"/>
      <c r="J138" s="386"/>
      <c r="K138" s="373"/>
      <c r="L138" s="373"/>
      <c r="M138" s="435"/>
      <c r="N138" s="490"/>
      <c r="O138" s="446"/>
    </row>
    <row r="139" spans="1:15" ht="20.25" customHeight="1">
      <c r="A139" s="435">
        <v>32</v>
      </c>
      <c r="B139" s="1088" t="s">
        <v>389</v>
      </c>
      <c r="C139" s="1088"/>
      <c r="D139" s="1089"/>
      <c r="E139" s="436"/>
      <c r="F139" s="471"/>
      <c r="G139" s="1094" t="s">
        <v>390</v>
      </c>
      <c r="H139" s="1089"/>
      <c r="I139" s="448">
        <f>(N112+N110)*1000</f>
        <v>189</v>
      </c>
      <c r="J139" s="440" t="s">
        <v>322</v>
      </c>
      <c r="K139" s="456">
        <v>0.15</v>
      </c>
      <c r="L139" s="590"/>
      <c r="M139" s="595"/>
      <c r="N139" s="490">
        <f>I139*K139/1000</f>
        <v>2.8000000000000001E-2</v>
      </c>
    </row>
    <row r="140" spans="1:15" ht="20.25" customHeight="1">
      <c r="A140" s="596"/>
      <c r="B140" s="1088" t="s">
        <v>391</v>
      </c>
      <c r="C140" s="1088"/>
      <c r="D140" s="1089"/>
      <c r="E140" s="436"/>
      <c r="F140" s="471"/>
      <c r="G140" s="590"/>
      <c r="H140" s="597"/>
      <c r="I140" s="590"/>
      <c r="J140" s="590"/>
      <c r="K140" s="589"/>
      <c r="L140" s="590"/>
      <c r="M140" s="595"/>
      <c r="N140" s="490"/>
    </row>
    <row r="141" spans="1:15" ht="9.9499999999999993" customHeight="1">
      <c r="A141" s="435"/>
      <c r="B141" s="397"/>
      <c r="C141" s="397"/>
      <c r="D141" s="454"/>
      <c r="E141" s="397"/>
      <c r="F141" s="497"/>
      <c r="G141" s="403"/>
      <c r="H141" s="438"/>
      <c r="I141" s="442"/>
      <c r="J141" s="386"/>
      <c r="K141" s="373"/>
      <c r="L141" s="373"/>
      <c r="M141" s="435"/>
      <c r="N141" s="490"/>
      <c r="O141" s="446"/>
    </row>
    <row r="142" spans="1:15" ht="20.25" customHeight="1">
      <c r="A142" s="435">
        <v>33</v>
      </c>
      <c r="B142" s="1094" t="s">
        <v>392</v>
      </c>
      <c r="C142" s="1088"/>
      <c r="D142" s="1089"/>
      <c r="E142" s="436"/>
      <c r="F142" s="471"/>
      <c r="G142" s="1094" t="s">
        <v>393</v>
      </c>
      <c r="H142" s="1089"/>
      <c r="I142" s="448">
        <f>SUM(N114,N116,N119)*1000</f>
        <v>10</v>
      </c>
      <c r="J142" s="440" t="s">
        <v>322</v>
      </c>
      <c r="K142" s="456">
        <v>0.12</v>
      </c>
      <c r="L142" s="590"/>
      <c r="M142" s="595"/>
      <c r="N142" s="490">
        <f>I142*K142/1000</f>
        <v>1E-3</v>
      </c>
    </row>
    <row r="143" spans="1:15" ht="20.25" customHeight="1">
      <c r="A143" s="596"/>
      <c r="B143" s="1088" t="s">
        <v>653</v>
      </c>
      <c r="C143" s="1088"/>
      <c r="D143" s="1089"/>
      <c r="E143" s="436"/>
      <c r="F143" s="471"/>
      <c r="G143" s="590"/>
      <c r="H143" s="597"/>
      <c r="I143" s="590"/>
      <c r="J143" s="590"/>
      <c r="K143" s="589"/>
      <c r="L143" s="590"/>
      <c r="M143" s="595"/>
      <c r="N143" s="490"/>
    </row>
    <row r="144" spans="1:15" ht="10.5" customHeight="1">
      <c r="A144" s="596"/>
      <c r="B144" s="436"/>
      <c r="C144" s="436"/>
      <c r="D144" s="435"/>
      <c r="E144" s="436"/>
      <c r="F144" s="471"/>
      <c r="G144" s="590"/>
      <c r="H144" s="597"/>
      <c r="I144" s="598"/>
      <c r="J144" s="590"/>
      <c r="K144" s="589"/>
      <c r="L144" s="590"/>
      <c r="M144" s="595"/>
      <c r="N144" s="490"/>
    </row>
    <row r="145" spans="1:15" ht="20.25" customHeight="1">
      <c r="A145" s="435">
        <v>34</v>
      </c>
      <c r="B145" s="1088" t="s">
        <v>394</v>
      </c>
      <c r="C145" s="1088"/>
      <c r="D145" s="1089"/>
      <c r="E145" s="436"/>
      <c r="F145" s="471"/>
      <c r="G145" s="1094" t="s">
        <v>395</v>
      </c>
      <c r="H145" s="1089"/>
      <c r="I145" s="448">
        <v>800</v>
      </c>
      <c r="J145" s="440" t="s">
        <v>322</v>
      </c>
      <c r="K145" s="373">
        <v>1.25</v>
      </c>
      <c r="L145" s="590"/>
      <c r="M145" s="454"/>
      <c r="N145" s="490">
        <f>I145*K145/1000</f>
        <v>1</v>
      </c>
    </row>
    <row r="146" spans="1:15" ht="20.25" customHeight="1">
      <c r="A146" s="596"/>
      <c r="B146" s="436" t="s">
        <v>278</v>
      </c>
      <c r="C146" s="436"/>
      <c r="D146" s="435"/>
      <c r="E146" s="436"/>
      <c r="F146" s="471"/>
      <c r="G146" s="1092" t="s">
        <v>396</v>
      </c>
      <c r="H146" s="1093"/>
      <c r="I146" s="590"/>
      <c r="J146" s="590"/>
      <c r="K146" s="589"/>
      <c r="L146" s="590"/>
      <c r="M146" s="595"/>
      <c r="N146" s="490"/>
    </row>
    <row r="147" spans="1:15" ht="9.9499999999999993" customHeight="1">
      <c r="A147" s="596"/>
      <c r="B147" s="378"/>
      <c r="C147" s="378"/>
      <c r="D147" s="457"/>
      <c r="E147" s="378"/>
      <c r="F147" s="498"/>
      <c r="G147" s="374"/>
      <c r="H147" s="458"/>
      <c r="I147" s="374"/>
      <c r="J147" s="374"/>
      <c r="K147" s="373"/>
      <c r="L147" s="374"/>
      <c r="M147" s="454"/>
      <c r="N147" s="490"/>
    </row>
    <row r="148" spans="1:15" ht="20.25" customHeight="1">
      <c r="A148" s="435">
        <v>35</v>
      </c>
      <c r="B148" s="1088" t="s">
        <v>397</v>
      </c>
      <c r="C148" s="1088"/>
      <c r="D148" s="1089"/>
      <c r="E148" s="436"/>
      <c r="F148" s="471"/>
      <c r="G148" s="1094" t="s">
        <v>560</v>
      </c>
      <c r="H148" s="1089"/>
      <c r="I148" s="448">
        <f>SUM(N123:N146)*1000</f>
        <v>5039</v>
      </c>
      <c r="J148" s="440" t="s">
        <v>322</v>
      </c>
      <c r="K148" s="373">
        <v>0.18</v>
      </c>
      <c r="L148" s="590"/>
      <c r="M148" s="595"/>
      <c r="N148" s="490">
        <f>I148*K148/1000</f>
        <v>0.90700000000000003</v>
      </c>
    </row>
    <row r="149" spans="1:15" ht="20.25" customHeight="1">
      <c r="A149" s="596"/>
      <c r="B149" s="1088" t="s">
        <v>398</v>
      </c>
      <c r="C149" s="1088"/>
      <c r="D149" s="1089"/>
      <c r="E149" s="436"/>
      <c r="F149" s="471"/>
      <c r="G149" s="590"/>
      <c r="H149" s="597"/>
      <c r="I149" s="590"/>
      <c r="J149" s="590"/>
      <c r="K149" s="590"/>
      <c r="L149" s="590"/>
      <c r="M149" s="595"/>
      <c r="N149" s="590"/>
    </row>
    <row r="150" spans="1:15" ht="24.95" customHeight="1">
      <c r="A150" s="589"/>
      <c r="B150" s="1086" t="s">
        <v>399</v>
      </c>
      <c r="C150" s="1086"/>
      <c r="D150" s="1086"/>
      <c r="E150" s="459"/>
      <c r="F150" s="459"/>
      <c r="G150" s="374"/>
      <c r="H150" s="374"/>
      <c r="I150" s="374"/>
      <c r="J150" s="374"/>
      <c r="K150" s="374"/>
      <c r="L150" s="374"/>
      <c r="M150" s="397"/>
      <c r="N150" s="460">
        <f>SUM(I148/1000+N148)</f>
        <v>5.9459999999999997</v>
      </c>
    </row>
    <row r="151" spans="1:15" ht="24.95" customHeight="1">
      <c r="A151" s="589"/>
      <c r="B151" s="1090" t="s">
        <v>400</v>
      </c>
      <c r="C151" s="1090"/>
      <c r="D151" s="1090"/>
      <c r="E151" s="461"/>
      <c r="F151" s="461"/>
      <c r="G151" s="374"/>
      <c r="H151" s="374"/>
      <c r="I151" s="374"/>
      <c r="J151" s="374"/>
      <c r="K151" s="374"/>
      <c r="L151" s="374"/>
      <c r="M151" s="397"/>
      <c r="N151" s="499">
        <f>SUM(N81,N121,N150)</f>
        <v>28.847999999999999</v>
      </c>
    </row>
    <row r="152" spans="1:15" ht="18">
      <c r="A152" s="378"/>
      <c r="B152" s="378"/>
      <c r="C152" s="378"/>
      <c r="D152" s="1091" t="s">
        <v>401</v>
      </c>
      <c r="E152" s="1091"/>
      <c r="F152" s="1091"/>
      <c r="G152" s="1091"/>
      <c r="H152" s="1091"/>
      <c r="I152" s="1091"/>
      <c r="J152" s="1091"/>
      <c r="K152" s="378"/>
      <c r="L152" s="378"/>
      <c r="M152" s="378"/>
      <c r="N152" s="378"/>
      <c r="O152" s="331"/>
    </row>
    <row r="153" spans="1:15" ht="9.9499999999999993" customHeight="1">
      <c r="A153" s="436"/>
      <c r="B153" s="397"/>
      <c r="C153" s="397"/>
      <c r="D153" s="397"/>
      <c r="E153" s="397"/>
      <c r="F153" s="397"/>
      <c r="G153" s="403"/>
      <c r="H153" s="403"/>
      <c r="I153" s="444"/>
      <c r="J153" s="386"/>
      <c r="K153" s="373"/>
      <c r="L153" s="373"/>
      <c r="M153" s="436"/>
      <c r="N153" s="490"/>
      <c r="O153" s="446"/>
    </row>
    <row r="154" spans="1:15" ht="20.25" customHeight="1">
      <c r="A154" s="435">
        <v>36</v>
      </c>
      <c r="B154" s="1088" t="s">
        <v>402</v>
      </c>
      <c r="C154" s="1088"/>
      <c r="D154" s="1088"/>
      <c r="E154" s="403" t="s">
        <v>432</v>
      </c>
      <c r="F154" s="669">
        <v>1</v>
      </c>
      <c r="G154" s="1094" t="s">
        <v>654</v>
      </c>
      <c r="H154" s="1089"/>
      <c r="I154" s="374">
        <v>4500</v>
      </c>
      <c r="J154" s="440" t="s">
        <v>322</v>
      </c>
      <c r="K154" s="463">
        <v>1</v>
      </c>
      <c r="L154" s="590"/>
      <c r="M154" s="595"/>
      <c r="N154" s="490">
        <f>I154*K154/1000</f>
        <v>4.5</v>
      </c>
    </row>
    <row r="155" spans="1:15" ht="9.9499999999999993" customHeight="1">
      <c r="A155" s="435"/>
      <c r="B155" s="397"/>
      <c r="C155" s="397"/>
      <c r="D155" s="397"/>
      <c r="E155" s="403"/>
      <c r="F155" s="403"/>
      <c r="G155" s="437"/>
      <c r="H155" s="438"/>
      <c r="I155" s="442"/>
      <c r="J155" s="386"/>
      <c r="K155" s="373"/>
      <c r="L155" s="373"/>
      <c r="M155" s="435"/>
      <c r="N155" s="490"/>
      <c r="O155" s="446"/>
    </row>
    <row r="156" spans="1:15" ht="20.25" customHeight="1">
      <c r="A156" s="435">
        <v>39</v>
      </c>
      <c r="B156" s="1088" t="s">
        <v>263</v>
      </c>
      <c r="C156" s="1088"/>
      <c r="D156" s="1088"/>
      <c r="E156" s="403" t="s">
        <v>50</v>
      </c>
      <c r="F156" s="403"/>
      <c r="G156" s="1094" t="s">
        <v>759</v>
      </c>
      <c r="H156" s="1089"/>
      <c r="I156" s="448">
        <f>SUM(N81,N154)*1000</f>
        <v>24119</v>
      </c>
      <c r="J156" s="440" t="s">
        <v>322</v>
      </c>
      <c r="K156" s="599">
        <v>0.15</v>
      </c>
      <c r="L156" s="590"/>
      <c r="M156" s="595"/>
      <c r="N156" s="490">
        <f>I156*K156/1000</f>
        <v>3.6179999999999999</v>
      </c>
    </row>
    <row r="157" spans="1:15" ht="9.9499999999999993" customHeight="1">
      <c r="A157" s="435"/>
      <c r="B157" s="397"/>
      <c r="C157" s="397"/>
      <c r="D157" s="397"/>
      <c r="E157" s="403"/>
      <c r="F157" s="403"/>
      <c r="G157" s="437"/>
      <c r="H157" s="438"/>
      <c r="I157" s="442"/>
      <c r="J157" s="386"/>
      <c r="K157" s="373"/>
      <c r="L157" s="373"/>
      <c r="M157" s="435"/>
      <c r="N157" s="490"/>
      <c r="O157" s="446"/>
    </row>
    <row r="158" spans="1:15" ht="9.9499999999999993" customHeight="1">
      <c r="A158" s="435"/>
      <c r="B158" s="397"/>
      <c r="C158" s="397"/>
      <c r="D158" s="397"/>
      <c r="E158" s="403"/>
      <c r="F158" s="403"/>
      <c r="G158" s="437"/>
      <c r="H158" s="438"/>
      <c r="I158" s="442"/>
      <c r="J158" s="386"/>
      <c r="K158" s="373"/>
      <c r="L158" s="373"/>
      <c r="M158" s="435"/>
      <c r="N158" s="490"/>
      <c r="O158" s="446"/>
    </row>
    <row r="159" spans="1:15" ht="20.25" customHeight="1">
      <c r="A159" s="435">
        <v>41</v>
      </c>
      <c r="B159" s="1088" t="s">
        <v>403</v>
      </c>
      <c r="C159" s="1088"/>
      <c r="D159" s="1088"/>
      <c r="E159" s="403" t="s">
        <v>50</v>
      </c>
      <c r="F159" s="403"/>
      <c r="G159" s="1094" t="s">
        <v>404</v>
      </c>
      <c r="H159" s="1089"/>
      <c r="I159" s="448">
        <f>I156+N156</f>
        <v>24123</v>
      </c>
      <c r="J159" s="440" t="s">
        <v>322</v>
      </c>
      <c r="K159" s="386">
        <v>0.06</v>
      </c>
      <c r="L159" s="440" t="s">
        <v>322</v>
      </c>
      <c r="M159" s="454">
        <v>2.5</v>
      </c>
      <c r="N159" s="500">
        <f>I159*K159*M159/1000</f>
        <v>3.6179999999999999</v>
      </c>
    </row>
    <row r="160" spans="1:15" ht="20.25" customHeight="1">
      <c r="A160" s="596"/>
      <c r="B160" s="1088" t="s">
        <v>405</v>
      </c>
      <c r="C160" s="1088"/>
      <c r="D160" s="1088"/>
      <c r="E160" s="403"/>
      <c r="F160" s="403"/>
      <c r="G160" s="600"/>
      <c r="H160" s="597"/>
      <c r="I160" s="590"/>
      <c r="J160" s="590"/>
      <c r="K160" s="590"/>
      <c r="L160" s="590"/>
      <c r="M160" s="595"/>
      <c r="N160" s="590"/>
    </row>
    <row r="161" spans="1:14" ht="24.95" customHeight="1">
      <c r="A161" s="596"/>
      <c r="B161" s="1091" t="s">
        <v>406</v>
      </c>
      <c r="C161" s="1091"/>
      <c r="D161" s="1091"/>
      <c r="E161" s="378"/>
      <c r="F161" s="378"/>
      <c r="G161" s="462"/>
      <c r="H161" s="458"/>
      <c r="I161" s="374"/>
      <c r="J161" s="374"/>
      <c r="K161" s="374"/>
      <c r="L161" s="374"/>
      <c r="M161" s="454"/>
      <c r="N161" s="493">
        <f>SUM(N154:N159)</f>
        <v>11.736000000000001</v>
      </c>
    </row>
    <row r="162" spans="1:14" ht="24.95" customHeight="1">
      <c r="A162" s="596"/>
      <c r="B162" s="1090" t="s">
        <v>407</v>
      </c>
      <c r="C162" s="1090"/>
      <c r="D162" s="1090"/>
      <c r="E162" s="501"/>
      <c r="F162" s="501"/>
      <c r="G162" s="462"/>
      <c r="H162" s="458"/>
      <c r="I162" s="374"/>
      <c r="J162" s="374"/>
      <c r="K162" s="374"/>
      <c r="L162" s="374"/>
      <c r="M162" s="454"/>
      <c r="N162" s="499">
        <f>SUM(N151,N161)</f>
        <v>40.584000000000003</v>
      </c>
    </row>
    <row r="163" spans="1:14" ht="20.25" customHeight="1">
      <c r="A163" s="435">
        <v>42</v>
      </c>
      <c r="B163" s="1088" t="s">
        <v>408</v>
      </c>
      <c r="C163" s="1088"/>
      <c r="D163" s="1088"/>
      <c r="E163" s="403" t="s">
        <v>50</v>
      </c>
      <c r="F163" s="403"/>
      <c r="G163" s="1092" t="s">
        <v>485</v>
      </c>
      <c r="H163" s="1093"/>
      <c r="I163" s="448">
        <f>N162*1000</f>
        <v>40584</v>
      </c>
      <c r="J163" s="440" t="s">
        <v>322</v>
      </c>
      <c r="K163" s="463">
        <v>1.6</v>
      </c>
      <c r="L163" s="590"/>
      <c r="M163" s="595"/>
      <c r="N163" s="490">
        <f>I163*K163/1000</f>
        <v>64.933999999999997</v>
      </c>
    </row>
    <row r="164" spans="1:14" ht="20.25" customHeight="1">
      <c r="A164" s="596"/>
      <c r="B164" s="1088" t="s">
        <v>409</v>
      </c>
      <c r="C164" s="1088"/>
      <c r="D164" s="1088"/>
      <c r="E164" s="436"/>
      <c r="F164" s="436"/>
      <c r="G164" s="1092" t="s">
        <v>410</v>
      </c>
      <c r="H164" s="1093"/>
      <c r="I164" s="590"/>
      <c r="J164" s="590"/>
      <c r="K164" s="590"/>
      <c r="L164" s="590"/>
      <c r="M164" s="595"/>
      <c r="N164" s="590"/>
    </row>
    <row r="165" spans="1:14" ht="24.95" customHeight="1">
      <c r="A165" s="589"/>
      <c r="B165" s="1090" t="s">
        <v>400</v>
      </c>
      <c r="C165" s="1090"/>
      <c r="D165" s="1090"/>
      <c r="E165" s="461"/>
      <c r="F165" s="461"/>
      <c r="G165" s="374"/>
      <c r="H165" s="374"/>
      <c r="I165" s="374"/>
      <c r="J165" s="374"/>
      <c r="K165" s="374"/>
      <c r="L165" s="374"/>
      <c r="M165" s="397"/>
      <c r="N165" s="499">
        <f>N163</f>
        <v>64.933999999999997</v>
      </c>
    </row>
    <row r="166" spans="1:14" ht="9.75" customHeight="1">
      <c r="A166" s="589"/>
      <c r="B166" s="461"/>
      <c r="C166" s="461"/>
      <c r="D166" s="461"/>
      <c r="E166" s="461"/>
      <c r="F166" s="461"/>
      <c r="G166" s="374"/>
      <c r="H166" s="374"/>
      <c r="I166" s="374"/>
      <c r="J166" s="374"/>
      <c r="K166" s="374"/>
      <c r="L166" s="374"/>
      <c r="M166" s="397"/>
      <c r="N166" s="499"/>
    </row>
    <row r="167" spans="1:14" ht="24.95" customHeight="1">
      <c r="A167" s="589"/>
      <c r="B167" s="1086" t="s">
        <v>411</v>
      </c>
      <c r="C167" s="1086"/>
      <c r="D167" s="1086"/>
      <c r="E167" s="459"/>
      <c r="F167" s="459"/>
      <c r="G167" s="374"/>
      <c r="H167" s="374"/>
      <c r="I167" s="374"/>
      <c r="J167" s="374"/>
      <c r="K167" s="374"/>
      <c r="L167" s="374"/>
      <c r="M167" s="397"/>
      <c r="N167" s="460">
        <f>N165</f>
        <v>64.933999999999997</v>
      </c>
    </row>
    <row r="168" spans="1:14" ht="20.25" customHeight="1">
      <c r="A168" s="435">
        <v>43</v>
      </c>
      <c r="B168" s="1088" t="s">
        <v>412</v>
      </c>
      <c r="C168" s="1088"/>
      <c r="D168" s="1089"/>
      <c r="E168" s="436"/>
      <c r="F168" s="471"/>
      <c r="G168" s="374" t="s">
        <v>845</v>
      </c>
      <c r="H168" s="597"/>
      <c r="I168" s="464">
        <f>N167*1000</f>
        <v>64934</v>
      </c>
      <c r="J168" s="440" t="s">
        <v>322</v>
      </c>
      <c r="K168" s="463">
        <v>0</v>
      </c>
      <c r="L168" s="590"/>
      <c r="M168" s="454"/>
      <c r="N168" s="502">
        <f>I168*K168/1000</f>
        <v>0</v>
      </c>
    </row>
    <row r="169" spans="1:14" ht="10.5" customHeight="1">
      <c r="A169" s="436"/>
      <c r="B169" s="436"/>
      <c r="C169" s="436"/>
      <c r="D169" s="436"/>
      <c r="E169" s="436"/>
      <c r="F169" s="436"/>
      <c r="G169" s="374"/>
      <c r="H169" s="590"/>
      <c r="I169" s="464"/>
      <c r="J169" s="440"/>
      <c r="K169" s="447"/>
      <c r="L169" s="590"/>
      <c r="M169" s="591"/>
      <c r="N169" s="502"/>
    </row>
    <row r="170" spans="1:14" ht="24.95" customHeight="1">
      <c r="A170" s="589"/>
      <c r="B170" s="1087" t="s">
        <v>413</v>
      </c>
      <c r="C170" s="1087"/>
      <c r="D170" s="1087"/>
      <c r="E170" s="472"/>
      <c r="F170" s="472"/>
      <c r="G170" s="374"/>
      <c r="H170" s="374"/>
      <c r="I170" s="374"/>
      <c r="J170" s="374"/>
      <c r="K170" s="374"/>
      <c r="L170" s="374"/>
      <c r="M170" s="397"/>
      <c r="N170" s="460">
        <f>N168</f>
        <v>0</v>
      </c>
    </row>
    <row r="171" spans="1:14" ht="9.75" customHeight="1">
      <c r="A171" s="485"/>
      <c r="B171" s="377"/>
      <c r="C171" s="377"/>
      <c r="D171" s="377"/>
      <c r="E171" s="377"/>
      <c r="F171" s="377"/>
      <c r="G171" s="374"/>
      <c r="H171" s="374"/>
      <c r="I171" s="374"/>
      <c r="J171" s="374"/>
      <c r="K171" s="374"/>
      <c r="L171" s="374"/>
      <c r="M171" s="397"/>
      <c r="N171" s="465"/>
    </row>
    <row r="172" spans="1:14" ht="24.95" customHeight="1">
      <c r="A172" s="1087"/>
      <c r="B172" s="1087"/>
      <c r="C172" s="1087"/>
      <c r="D172" s="1087"/>
      <c r="E172" s="1087"/>
      <c r="F172" s="1087"/>
      <c r="G172" s="1087"/>
      <c r="H172" s="1087"/>
      <c r="I172" s="1087"/>
      <c r="J172" s="1087"/>
      <c r="K172" s="1087"/>
      <c r="L172" s="1087"/>
      <c r="M172" s="1087"/>
      <c r="N172" s="1087"/>
    </row>
    <row r="173" spans="1:14" ht="24.95" customHeight="1">
      <c r="A173" s="1087"/>
      <c r="B173" s="1087"/>
      <c r="C173" s="1087"/>
      <c r="D173" s="1087"/>
      <c r="E173" s="1087"/>
      <c r="F173" s="1087"/>
      <c r="G173" s="1087"/>
      <c r="H173" s="1087"/>
      <c r="I173" s="1087"/>
      <c r="J173" s="1087"/>
      <c r="K173" s="1087"/>
      <c r="L173" s="1087"/>
      <c r="M173" s="1087"/>
      <c r="N173" s="1087"/>
    </row>
    <row r="174" spans="1:14" ht="9.75" customHeight="1">
      <c r="A174" s="592"/>
      <c r="B174" s="592"/>
      <c r="C174" s="592"/>
      <c r="D174" s="592"/>
      <c r="E174" s="592"/>
      <c r="F174" s="592"/>
      <c r="G174" s="592"/>
      <c r="H174" s="592"/>
      <c r="I174" s="592"/>
      <c r="J174" s="592"/>
      <c r="K174" s="592"/>
      <c r="L174" s="592"/>
      <c r="M174" s="592"/>
      <c r="N174" s="592"/>
    </row>
    <row r="175" spans="1:14" ht="24.95" hidden="1" customHeight="1">
      <c r="A175" s="1084" t="s">
        <v>28</v>
      </c>
      <c r="B175" s="1084"/>
      <c r="C175" s="825"/>
      <c r="D175" s="825"/>
      <c r="E175" s="825"/>
      <c r="F175" s="825"/>
      <c r="G175" s="825"/>
      <c r="H175" s="432"/>
      <c r="I175" s="432"/>
      <c r="J175" s="432"/>
      <c r="K175" s="432"/>
      <c r="L175" s="432"/>
      <c r="M175" s="432"/>
      <c r="N175" s="432"/>
    </row>
    <row r="176" spans="1:14" ht="24.95" customHeight="1">
      <c r="A176" s="825"/>
      <c r="B176" s="1095" t="s">
        <v>731</v>
      </c>
      <c r="C176" s="1095"/>
      <c r="D176" s="825"/>
      <c r="E176" s="825"/>
      <c r="F176" s="825"/>
      <c r="G176" s="825"/>
      <c r="H176" s="432"/>
      <c r="I176" s="432"/>
      <c r="J176" s="432"/>
      <c r="K176" s="432"/>
      <c r="L176" s="432"/>
      <c r="M176" s="432"/>
      <c r="N176" s="432"/>
    </row>
    <row r="177" spans="1:14" ht="24.95" customHeight="1">
      <c r="A177" s="907"/>
      <c r="B177" s="907"/>
      <c r="C177" s="908"/>
      <c r="D177" s="908"/>
      <c r="E177" s="909"/>
      <c r="F177" s="910"/>
      <c r="G177" s="911"/>
      <c r="H177" s="910"/>
      <c r="I177" s="906"/>
      <c r="J177" s="906"/>
      <c r="K177" s="906"/>
      <c r="L177" s="906"/>
      <c r="M177" s="906"/>
      <c r="N177" s="432"/>
    </row>
    <row r="178" spans="1:14" ht="18.75">
      <c r="A178" s="825"/>
      <c r="B178" s="827" t="s">
        <v>730</v>
      </c>
      <c r="C178" s="827"/>
      <c r="D178" s="827"/>
      <c r="E178" s="828"/>
      <c r="F178" s="831"/>
      <c r="G178" s="832"/>
      <c r="H178" s="831"/>
      <c r="I178" s="601"/>
      <c r="J178" s="601"/>
      <c r="K178" s="827" t="s">
        <v>577</v>
      </c>
      <c r="L178" s="601"/>
      <c r="M178" s="601"/>
      <c r="N178" s="601"/>
    </row>
    <row r="179" spans="1:14" ht="18.75">
      <c r="A179" s="826"/>
      <c r="B179" s="826"/>
      <c r="C179" s="826"/>
      <c r="D179" s="826"/>
      <c r="E179" s="828"/>
      <c r="F179" s="829"/>
      <c r="G179" s="830"/>
      <c r="H179" s="829"/>
      <c r="I179" s="590"/>
      <c r="J179" s="590"/>
      <c r="K179" s="590"/>
      <c r="L179" s="590"/>
      <c r="M179" s="590"/>
      <c r="N179" s="590"/>
    </row>
    <row r="180" spans="1:14" ht="18.75" hidden="1">
      <c r="A180" s="833" t="s">
        <v>29</v>
      </c>
      <c r="B180" s="834"/>
      <c r="C180" s="834"/>
      <c r="D180" s="834"/>
      <c r="E180" s="834"/>
      <c r="F180" s="835"/>
      <c r="G180" s="834"/>
      <c r="H180" s="835"/>
      <c r="I180" s="590"/>
      <c r="J180" s="590"/>
      <c r="K180" s="590"/>
      <c r="L180" s="590"/>
      <c r="M180" s="590"/>
      <c r="N180" s="590"/>
    </row>
    <row r="181" spans="1:14" ht="18" hidden="1">
      <c r="A181" s="836"/>
      <c r="B181" s="836"/>
      <c r="C181" s="836"/>
      <c r="D181" s="836"/>
      <c r="E181" s="836"/>
      <c r="F181" s="837"/>
      <c r="G181" s="836"/>
      <c r="H181" s="837"/>
      <c r="I181" s="590"/>
      <c r="J181" s="590"/>
      <c r="K181" s="590"/>
      <c r="L181" s="590"/>
      <c r="M181" s="590"/>
      <c r="N181" s="590"/>
    </row>
    <row r="182" spans="1:14" ht="18.75" hidden="1">
      <c r="A182" s="838"/>
      <c r="B182" s="838"/>
      <c r="C182" s="838"/>
      <c r="D182" s="838"/>
      <c r="E182" s="838"/>
      <c r="F182" s="839"/>
      <c r="G182" s="838"/>
      <c r="H182" s="839"/>
      <c r="I182" s="590"/>
      <c r="J182" s="590"/>
      <c r="K182" s="590"/>
      <c r="L182" s="590"/>
      <c r="M182" s="590"/>
      <c r="N182" s="590"/>
    </row>
    <row r="183" spans="1:14" ht="18.75" hidden="1">
      <c r="A183" s="840" t="s">
        <v>575</v>
      </c>
      <c r="B183" s="828"/>
      <c r="C183" s="828"/>
      <c r="D183" s="828"/>
      <c r="E183" s="841"/>
      <c r="F183" s="842"/>
      <c r="G183" s="843"/>
      <c r="H183" s="842"/>
      <c r="I183" s="590"/>
      <c r="J183" s="590"/>
      <c r="K183" s="590"/>
      <c r="L183" s="590"/>
      <c r="M183" s="590"/>
      <c r="N183" s="590"/>
    </row>
    <row r="184" spans="1:14" ht="18.75" hidden="1">
      <c r="A184" s="840"/>
      <c r="B184" s="828"/>
      <c r="C184" s="828"/>
      <c r="D184" s="828"/>
      <c r="E184" s="841"/>
      <c r="F184" s="829"/>
      <c r="G184" s="844"/>
      <c r="H184" s="829"/>
      <c r="I184" s="4"/>
      <c r="J184" s="4"/>
      <c r="K184" s="4"/>
      <c r="L184" s="4"/>
      <c r="M184" s="4"/>
      <c r="N184" s="4"/>
    </row>
    <row r="185" spans="1:14" ht="18.75" hidden="1">
      <c r="A185" s="840"/>
      <c r="B185" s="828"/>
      <c r="C185" s="828"/>
      <c r="D185" s="828"/>
      <c r="E185" s="841"/>
      <c r="F185" s="832"/>
      <c r="G185" s="844"/>
      <c r="H185" s="832"/>
      <c r="I185" s="4"/>
      <c r="J185" s="4"/>
      <c r="K185" s="4"/>
      <c r="L185" s="4"/>
      <c r="M185" s="4"/>
      <c r="N185" s="4"/>
    </row>
    <row r="186" spans="1:14" ht="18.75" hidden="1">
      <c r="A186" s="846">
        <f>см3!A56</f>
        <v>0</v>
      </c>
      <c r="B186" s="846"/>
      <c r="C186" s="846"/>
      <c r="D186" s="846"/>
      <c r="E186" s="846"/>
      <c r="F186" s="847"/>
      <c r="G186" s="846"/>
      <c r="H186" s="847" t="s">
        <v>573</v>
      </c>
      <c r="I186" s="4"/>
      <c r="J186" s="4"/>
      <c r="K186" s="4"/>
      <c r="L186" s="4"/>
      <c r="M186" s="4"/>
      <c r="N186" s="4"/>
    </row>
    <row r="187" spans="1:14" ht="18.75" hidden="1">
      <c r="A187" s="846"/>
      <c r="B187" s="846"/>
      <c r="C187" s="846"/>
      <c r="D187" s="846"/>
      <c r="E187" s="846"/>
      <c r="F187" s="829"/>
      <c r="G187" s="848"/>
      <c r="H187" s="829"/>
      <c r="I187" s="4"/>
      <c r="J187" s="4"/>
      <c r="K187" s="4"/>
      <c r="L187" s="4"/>
      <c r="M187" s="4"/>
      <c r="N187" s="4"/>
    </row>
    <row r="188" spans="1:14" ht="18.75" hidden="1">
      <c r="A188" s="838"/>
      <c r="B188" s="838"/>
      <c r="C188" s="838"/>
      <c r="D188" s="838"/>
      <c r="E188" s="838"/>
      <c r="F188" s="839"/>
      <c r="G188" s="838"/>
      <c r="H188" s="839"/>
      <c r="I188" s="4"/>
      <c r="J188" s="4"/>
      <c r="K188" s="4"/>
      <c r="L188" s="4"/>
      <c r="M188" s="4"/>
      <c r="N188" s="4"/>
    </row>
    <row r="189" spans="1:14" ht="18.75" hidden="1">
      <c r="A189" s="1085">
        <f>см3!A58</f>
        <v>0</v>
      </c>
      <c r="B189" s="1085"/>
      <c r="C189" s="1085"/>
      <c r="D189" s="1085"/>
      <c r="E189" s="846"/>
      <c r="F189" s="847"/>
      <c r="G189" s="846"/>
      <c r="H189" s="847" t="s">
        <v>577</v>
      </c>
      <c r="I189" s="4"/>
      <c r="J189" s="4"/>
      <c r="K189" s="4"/>
      <c r="L189" s="4"/>
      <c r="M189" s="4"/>
      <c r="N189" s="4"/>
    </row>
    <row r="190" spans="1:14" ht="18">
      <c r="A190" s="845"/>
      <c r="B190" s="845"/>
      <c r="C190" s="845"/>
      <c r="D190" s="845"/>
      <c r="E190" s="845"/>
      <c r="F190" s="845"/>
      <c r="G190" s="845"/>
      <c r="H190" s="845"/>
      <c r="I190" s="4"/>
      <c r="J190" s="4"/>
      <c r="K190" s="4"/>
      <c r="L190" s="4"/>
      <c r="M190" s="4"/>
      <c r="N190" s="4"/>
    </row>
    <row r="191" spans="1:14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</row>
    <row r="192" spans="1:14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</row>
    <row r="193" spans="1:14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</row>
    <row r="194" spans="1:1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</row>
    <row r="195" spans="1:14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</row>
    <row r="196" spans="1:14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</row>
    <row r="197" spans="1:14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</row>
    <row r="198" spans="1:14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</row>
    <row r="199" spans="1:14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</row>
    <row r="200" spans="1:14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</row>
    <row r="201" spans="1:14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</row>
    <row r="202" spans="1:14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</row>
    <row r="203" spans="1:14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</row>
    <row r="204" spans="1:1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</row>
    <row r="205" spans="1:14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</row>
    <row r="206" spans="1:14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</row>
    <row r="207" spans="1:14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</row>
    <row r="208" spans="1:14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</row>
    <row r="209" spans="1:14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</row>
    <row r="210" spans="1:14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</row>
    <row r="211" spans="1:14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</row>
  </sheetData>
  <mergeCells count="188">
    <mergeCell ref="B35:D35"/>
    <mergeCell ref="B39:D39"/>
    <mergeCell ref="G35:H35"/>
    <mergeCell ref="B37:D37"/>
    <mergeCell ref="G39:H39"/>
    <mergeCell ref="D29:K29"/>
    <mergeCell ref="D28:K28"/>
    <mergeCell ref="B40:D40"/>
    <mergeCell ref="B42:D42"/>
    <mergeCell ref="F37:K37"/>
    <mergeCell ref="F36:L36"/>
    <mergeCell ref="G42:H42"/>
    <mergeCell ref="I19:M19"/>
    <mergeCell ref="G14:N14"/>
    <mergeCell ref="A12:D12"/>
    <mergeCell ref="A14:D14"/>
    <mergeCell ref="G30:J30"/>
    <mergeCell ref="G31:J31"/>
    <mergeCell ref="G20:H20"/>
    <mergeCell ref="G21:H21"/>
    <mergeCell ref="G22:H22"/>
    <mergeCell ref="G24:H24"/>
    <mergeCell ref="G25:H25"/>
    <mergeCell ref="B43:D43"/>
    <mergeCell ref="G45:H45"/>
    <mergeCell ref="B46:D46"/>
    <mergeCell ref="B48:D48"/>
    <mergeCell ref="B51:D51"/>
    <mergeCell ref="G48:H48"/>
    <mergeCell ref="B49:D49"/>
    <mergeCell ref="G51:H51"/>
    <mergeCell ref="B45:D45"/>
    <mergeCell ref="B52:D52"/>
    <mergeCell ref="B54:D54"/>
    <mergeCell ref="B57:D57"/>
    <mergeCell ref="C62:L62"/>
    <mergeCell ref="G54:H54"/>
    <mergeCell ref="B55:D55"/>
    <mergeCell ref="G57:H57"/>
    <mergeCell ref="B58:D58"/>
    <mergeCell ref="B60:D60"/>
    <mergeCell ref="B126:D126"/>
    <mergeCell ref="G128:H128"/>
    <mergeCell ref="B110:D110"/>
    <mergeCell ref="G110:H110"/>
    <mergeCell ref="B112:D112"/>
    <mergeCell ref="B103:D103"/>
    <mergeCell ref="G103:H103"/>
    <mergeCell ref="B130:D130"/>
    <mergeCell ref="G130:H130"/>
    <mergeCell ref="B128:D128"/>
    <mergeCell ref="B129:D129"/>
    <mergeCell ref="B79:D79"/>
    <mergeCell ref="B81:D81"/>
    <mergeCell ref="D82:J82"/>
    <mergeCell ref="B86:D86"/>
    <mergeCell ref="G86:H86"/>
    <mergeCell ref="B64:D64"/>
    <mergeCell ref="G64:H64"/>
    <mergeCell ref="B65:D65"/>
    <mergeCell ref="G65:H65"/>
    <mergeCell ref="B67:D67"/>
    <mergeCell ref="G67:H67"/>
    <mergeCell ref="B73:D73"/>
    <mergeCell ref="G73:H73"/>
    <mergeCell ref="B74:D74"/>
    <mergeCell ref="G71:H71"/>
    <mergeCell ref="G85:H85"/>
    <mergeCell ref="B94:D94"/>
    <mergeCell ref="G94:H94"/>
    <mergeCell ref="B97:D97"/>
    <mergeCell ref="G97:H97"/>
    <mergeCell ref="B101:D101"/>
    <mergeCell ref="G101:H101"/>
    <mergeCell ref="B96:D96"/>
    <mergeCell ref="G96:H96"/>
    <mergeCell ref="B88:D88"/>
    <mergeCell ref="G88:H88"/>
    <mergeCell ref="G139:H139"/>
    <mergeCell ref="G142:H142"/>
    <mergeCell ref="G7:N7"/>
    <mergeCell ref="G8:N8"/>
    <mergeCell ref="D122:J122"/>
    <mergeCell ref="B123:D123"/>
    <mergeCell ref="G123:H123"/>
    <mergeCell ref="B116:D116"/>
    <mergeCell ref="B120:D120"/>
    <mergeCell ref="G18:H18"/>
    <mergeCell ref="I18:M18"/>
    <mergeCell ref="G19:H19"/>
    <mergeCell ref="A8:D8"/>
    <mergeCell ref="A9:C9"/>
    <mergeCell ref="G9:N9"/>
    <mergeCell ref="A11:C11"/>
    <mergeCell ref="B99:D99"/>
    <mergeCell ref="G99:H99"/>
    <mergeCell ref="B125:D125"/>
    <mergeCell ref="B119:D119"/>
    <mergeCell ref="G119:H119"/>
    <mergeCell ref="G116:H116"/>
    <mergeCell ref="G120:H120"/>
    <mergeCell ref="A121:D121"/>
    <mergeCell ref="P1:AA1"/>
    <mergeCell ref="P2:AA2"/>
    <mergeCell ref="C3:K3"/>
    <mergeCell ref="P3:AA3"/>
    <mergeCell ref="A1:D1"/>
    <mergeCell ref="B2:C2"/>
    <mergeCell ref="G136:H136"/>
    <mergeCell ref="P4:AA4"/>
    <mergeCell ref="B117:D117"/>
    <mergeCell ref="B114:D114"/>
    <mergeCell ref="G114:H114"/>
    <mergeCell ref="B100:D100"/>
    <mergeCell ref="G100:H100"/>
    <mergeCell ref="G112:H112"/>
    <mergeCell ref="B105:D105"/>
    <mergeCell ref="G105:H105"/>
    <mergeCell ref="B106:D106"/>
    <mergeCell ref="G106:H106"/>
    <mergeCell ref="B108:D108"/>
    <mergeCell ref="G108:H108"/>
    <mergeCell ref="G125:H125"/>
    <mergeCell ref="G11:M11"/>
    <mergeCell ref="B133:D133"/>
    <mergeCell ref="G132:H132"/>
    <mergeCell ref="C4:K4"/>
    <mergeCell ref="G89:H89"/>
    <mergeCell ref="B92:D92"/>
    <mergeCell ref="G92:H92"/>
    <mergeCell ref="B91:D91"/>
    <mergeCell ref="G91:H91"/>
    <mergeCell ref="G15:N15"/>
    <mergeCell ref="B18:D18"/>
    <mergeCell ref="I20:M20"/>
    <mergeCell ref="G26:H26"/>
    <mergeCell ref="B27:M27"/>
    <mergeCell ref="B85:D85"/>
    <mergeCell ref="B89:D89"/>
    <mergeCell ref="A6:D6"/>
    <mergeCell ref="G6:N6"/>
    <mergeCell ref="A7:D7"/>
    <mergeCell ref="B75:D75"/>
    <mergeCell ref="B68:D68"/>
    <mergeCell ref="G68:H68"/>
    <mergeCell ref="B70:D70"/>
    <mergeCell ref="G70:H70"/>
    <mergeCell ref="B71:D71"/>
    <mergeCell ref="B76:D76"/>
    <mergeCell ref="B77:D77"/>
    <mergeCell ref="G159:H159"/>
    <mergeCell ref="B163:D163"/>
    <mergeCell ref="B176:C176"/>
    <mergeCell ref="B156:D156"/>
    <mergeCell ref="G156:H156"/>
    <mergeCell ref="B154:D154"/>
    <mergeCell ref="G154:H154"/>
    <mergeCell ref="B159:D159"/>
    <mergeCell ref="B132:D132"/>
    <mergeCell ref="B136:D136"/>
    <mergeCell ref="B139:D139"/>
    <mergeCell ref="B143:D143"/>
    <mergeCell ref="B149:D149"/>
    <mergeCell ref="B137:D137"/>
    <mergeCell ref="B140:D140"/>
    <mergeCell ref="B142:D142"/>
    <mergeCell ref="B145:D145"/>
    <mergeCell ref="G145:H145"/>
    <mergeCell ref="G148:H148"/>
    <mergeCell ref="G146:H146"/>
    <mergeCell ref="B150:D150"/>
    <mergeCell ref="B151:D151"/>
    <mergeCell ref="D152:J152"/>
    <mergeCell ref="B148:D148"/>
    <mergeCell ref="A175:B175"/>
    <mergeCell ref="A189:D189"/>
    <mergeCell ref="B167:D167"/>
    <mergeCell ref="B170:D170"/>
    <mergeCell ref="A172:N172"/>
    <mergeCell ref="A173:N173"/>
    <mergeCell ref="B168:D168"/>
    <mergeCell ref="B162:D162"/>
    <mergeCell ref="B160:D160"/>
    <mergeCell ref="B161:D161"/>
    <mergeCell ref="B165:D165"/>
    <mergeCell ref="G163:H163"/>
    <mergeCell ref="B164:D164"/>
    <mergeCell ref="G164:H164"/>
  </mergeCells>
  <pageMargins left="0.47244094488188981" right="0.15748031496062992" top="0.43307086614173229" bottom="0.39370078740157483" header="0.31496062992125984" footer="0.23622047244094491"/>
  <pageSetup paperSize="9" scale="6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view="pageBreakPreview" topLeftCell="A12" zoomScaleNormal="100" zoomScaleSheetLayoutView="100" workbookViewId="0">
      <selection activeCell="F28" sqref="F28"/>
    </sheetView>
  </sheetViews>
  <sheetFormatPr defaultRowHeight="15"/>
  <cols>
    <col min="1" max="1" width="3.7109375" style="1006" customWidth="1"/>
    <col min="2" max="2" width="34.7109375" style="1006" customWidth="1"/>
    <col min="3" max="3" width="5" style="1006" customWidth="1"/>
    <col min="4" max="4" width="6.42578125" style="1006" customWidth="1"/>
    <col min="5" max="5" width="19.7109375" style="1006" customWidth="1"/>
    <col min="6" max="6" width="12.42578125" style="1006" customWidth="1"/>
    <col min="7" max="7" width="9.7109375" style="1006" customWidth="1"/>
    <col min="8" max="256" width="9.140625" style="1006"/>
    <col min="257" max="257" width="3.7109375" style="1006" customWidth="1"/>
    <col min="258" max="258" width="34.7109375" style="1006" customWidth="1"/>
    <col min="259" max="259" width="5" style="1006" customWidth="1"/>
    <col min="260" max="260" width="6.42578125" style="1006" customWidth="1"/>
    <col min="261" max="261" width="19.7109375" style="1006" customWidth="1"/>
    <col min="262" max="262" width="12.42578125" style="1006" customWidth="1"/>
    <col min="263" max="263" width="9.7109375" style="1006" customWidth="1"/>
    <col min="264" max="512" width="9.140625" style="1006"/>
    <col min="513" max="513" width="3.7109375" style="1006" customWidth="1"/>
    <col min="514" max="514" width="34.7109375" style="1006" customWidth="1"/>
    <col min="515" max="515" width="5" style="1006" customWidth="1"/>
    <col min="516" max="516" width="6.42578125" style="1006" customWidth="1"/>
    <col min="517" max="517" width="19.7109375" style="1006" customWidth="1"/>
    <col min="518" max="518" width="12.42578125" style="1006" customWidth="1"/>
    <col min="519" max="519" width="9.7109375" style="1006" customWidth="1"/>
    <col min="520" max="768" width="9.140625" style="1006"/>
    <col min="769" max="769" width="3.7109375" style="1006" customWidth="1"/>
    <col min="770" max="770" width="34.7109375" style="1006" customWidth="1"/>
    <col min="771" max="771" width="5" style="1006" customWidth="1"/>
    <col min="772" max="772" width="6.42578125" style="1006" customWidth="1"/>
    <col min="773" max="773" width="19.7109375" style="1006" customWidth="1"/>
    <col min="774" max="774" width="12.42578125" style="1006" customWidth="1"/>
    <col min="775" max="775" width="9.7109375" style="1006" customWidth="1"/>
    <col min="776" max="1024" width="9.140625" style="1006"/>
    <col min="1025" max="1025" width="3.7109375" style="1006" customWidth="1"/>
    <col min="1026" max="1026" width="34.7109375" style="1006" customWidth="1"/>
    <col min="1027" max="1027" width="5" style="1006" customWidth="1"/>
    <col min="1028" max="1028" width="6.42578125" style="1006" customWidth="1"/>
    <col min="1029" max="1029" width="19.7109375" style="1006" customWidth="1"/>
    <col min="1030" max="1030" width="12.42578125" style="1006" customWidth="1"/>
    <col min="1031" max="1031" width="9.7109375" style="1006" customWidth="1"/>
    <col min="1032" max="1280" width="9.140625" style="1006"/>
    <col min="1281" max="1281" width="3.7109375" style="1006" customWidth="1"/>
    <col min="1282" max="1282" width="34.7109375" style="1006" customWidth="1"/>
    <col min="1283" max="1283" width="5" style="1006" customWidth="1"/>
    <col min="1284" max="1284" width="6.42578125" style="1006" customWidth="1"/>
    <col min="1285" max="1285" width="19.7109375" style="1006" customWidth="1"/>
    <col min="1286" max="1286" width="12.42578125" style="1006" customWidth="1"/>
    <col min="1287" max="1287" width="9.7109375" style="1006" customWidth="1"/>
    <col min="1288" max="1536" width="9.140625" style="1006"/>
    <col min="1537" max="1537" width="3.7109375" style="1006" customWidth="1"/>
    <col min="1538" max="1538" width="34.7109375" style="1006" customWidth="1"/>
    <col min="1539" max="1539" width="5" style="1006" customWidth="1"/>
    <col min="1540" max="1540" width="6.42578125" style="1006" customWidth="1"/>
    <col min="1541" max="1541" width="19.7109375" style="1006" customWidth="1"/>
    <col min="1542" max="1542" width="12.42578125" style="1006" customWidth="1"/>
    <col min="1543" max="1543" width="9.7109375" style="1006" customWidth="1"/>
    <col min="1544" max="1792" width="9.140625" style="1006"/>
    <col min="1793" max="1793" width="3.7109375" style="1006" customWidth="1"/>
    <col min="1794" max="1794" width="34.7109375" style="1006" customWidth="1"/>
    <col min="1795" max="1795" width="5" style="1006" customWidth="1"/>
    <col min="1796" max="1796" width="6.42578125" style="1006" customWidth="1"/>
    <col min="1797" max="1797" width="19.7109375" style="1006" customWidth="1"/>
    <col min="1798" max="1798" width="12.42578125" style="1006" customWidth="1"/>
    <col min="1799" max="1799" width="9.7109375" style="1006" customWidth="1"/>
    <col min="1800" max="2048" width="9.140625" style="1006"/>
    <col min="2049" max="2049" width="3.7109375" style="1006" customWidth="1"/>
    <col min="2050" max="2050" width="34.7109375" style="1006" customWidth="1"/>
    <col min="2051" max="2051" width="5" style="1006" customWidth="1"/>
    <col min="2052" max="2052" width="6.42578125" style="1006" customWidth="1"/>
    <col min="2053" max="2053" width="19.7109375" style="1006" customWidth="1"/>
    <col min="2054" max="2054" width="12.42578125" style="1006" customWidth="1"/>
    <col min="2055" max="2055" width="9.7109375" style="1006" customWidth="1"/>
    <col min="2056" max="2304" width="9.140625" style="1006"/>
    <col min="2305" max="2305" width="3.7109375" style="1006" customWidth="1"/>
    <col min="2306" max="2306" width="34.7109375" style="1006" customWidth="1"/>
    <col min="2307" max="2307" width="5" style="1006" customWidth="1"/>
    <col min="2308" max="2308" width="6.42578125" style="1006" customWidth="1"/>
    <col min="2309" max="2309" width="19.7109375" style="1006" customWidth="1"/>
    <col min="2310" max="2310" width="12.42578125" style="1006" customWidth="1"/>
    <col min="2311" max="2311" width="9.7109375" style="1006" customWidth="1"/>
    <col min="2312" max="2560" width="9.140625" style="1006"/>
    <col min="2561" max="2561" width="3.7109375" style="1006" customWidth="1"/>
    <col min="2562" max="2562" width="34.7109375" style="1006" customWidth="1"/>
    <col min="2563" max="2563" width="5" style="1006" customWidth="1"/>
    <col min="2564" max="2564" width="6.42578125" style="1006" customWidth="1"/>
    <col min="2565" max="2565" width="19.7109375" style="1006" customWidth="1"/>
    <col min="2566" max="2566" width="12.42578125" style="1006" customWidth="1"/>
    <col min="2567" max="2567" width="9.7109375" style="1006" customWidth="1"/>
    <col min="2568" max="2816" width="9.140625" style="1006"/>
    <col min="2817" max="2817" width="3.7109375" style="1006" customWidth="1"/>
    <col min="2818" max="2818" width="34.7109375" style="1006" customWidth="1"/>
    <col min="2819" max="2819" width="5" style="1006" customWidth="1"/>
    <col min="2820" max="2820" width="6.42578125" style="1006" customWidth="1"/>
    <col min="2821" max="2821" width="19.7109375" style="1006" customWidth="1"/>
    <col min="2822" max="2822" width="12.42578125" style="1006" customWidth="1"/>
    <col min="2823" max="2823" width="9.7109375" style="1006" customWidth="1"/>
    <col min="2824" max="3072" width="9.140625" style="1006"/>
    <col min="3073" max="3073" width="3.7109375" style="1006" customWidth="1"/>
    <col min="3074" max="3074" width="34.7109375" style="1006" customWidth="1"/>
    <col min="3075" max="3075" width="5" style="1006" customWidth="1"/>
    <col min="3076" max="3076" width="6.42578125" style="1006" customWidth="1"/>
    <col min="3077" max="3077" width="19.7109375" style="1006" customWidth="1"/>
    <col min="3078" max="3078" width="12.42578125" style="1006" customWidth="1"/>
    <col min="3079" max="3079" width="9.7109375" style="1006" customWidth="1"/>
    <col min="3080" max="3328" width="9.140625" style="1006"/>
    <col min="3329" max="3329" width="3.7109375" style="1006" customWidth="1"/>
    <col min="3330" max="3330" width="34.7109375" style="1006" customWidth="1"/>
    <col min="3331" max="3331" width="5" style="1006" customWidth="1"/>
    <col min="3332" max="3332" width="6.42578125" style="1006" customWidth="1"/>
    <col min="3333" max="3333" width="19.7109375" style="1006" customWidth="1"/>
    <col min="3334" max="3334" width="12.42578125" style="1006" customWidth="1"/>
    <col min="3335" max="3335" width="9.7109375" style="1006" customWidth="1"/>
    <col min="3336" max="3584" width="9.140625" style="1006"/>
    <col min="3585" max="3585" width="3.7109375" style="1006" customWidth="1"/>
    <col min="3586" max="3586" width="34.7109375" style="1006" customWidth="1"/>
    <col min="3587" max="3587" width="5" style="1006" customWidth="1"/>
    <col min="3588" max="3588" width="6.42578125" style="1006" customWidth="1"/>
    <col min="3589" max="3589" width="19.7109375" style="1006" customWidth="1"/>
    <col min="3590" max="3590" width="12.42578125" style="1006" customWidth="1"/>
    <col min="3591" max="3591" width="9.7109375" style="1006" customWidth="1"/>
    <col min="3592" max="3840" width="9.140625" style="1006"/>
    <col min="3841" max="3841" width="3.7109375" style="1006" customWidth="1"/>
    <col min="3842" max="3842" width="34.7109375" style="1006" customWidth="1"/>
    <col min="3843" max="3843" width="5" style="1006" customWidth="1"/>
    <col min="3844" max="3844" width="6.42578125" style="1006" customWidth="1"/>
    <col min="3845" max="3845" width="19.7109375" style="1006" customWidth="1"/>
    <col min="3846" max="3846" width="12.42578125" style="1006" customWidth="1"/>
    <col min="3847" max="3847" width="9.7109375" style="1006" customWidth="1"/>
    <col min="3848" max="4096" width="9.140625" style="1006"/>
    <col min="4097" max="4097" width="3.7109375" style="1006" customWidth="1"/>
    <col min="4098" max="4098" width="34.7109375" style="1006" customWidth="1"/>
    <col min="4099" max="4099" width="5" style="1006" customWidth="1"/>
    <col min="4100" max="4100" width="6.42578125" style="1006" customWidth="1"/>
    <col min="4101" max="4101" width="19.7109375" style="1006" customWidth="1"/>
    <col min="4102" max="4102" width="12.42578125" style="1006" customWidth="1"/>
    <col min="4103" max="4103" width="9.7109375" style="1006" customWidth="1"/>
    <col min="4104" max="4352" width="9.140625" style="1006"/>
    <col min="4353" max="4353" width="3.7109375" style="1006" customWidth="1"/>
    <col min="4354" max="4354" width="34.7109375" style="1006" customWidth="1"/>
    <col min="4355" max="4355" width="5" style="1006" customWidth="1"/>
    <col min="4356" max="4356" width="6.42578125" style="1006" customWidth="1"/>
    <col min="4357" max="4357" width="19.7109375" style="1006" customWidth="1"/>
    <col min="4358" max="4358" width="12.42578125" style="1006" customWidth="1"/>
    <col min="4359" max="4359" width="9.7109375" style="1006" customWidth="1"/>
    <col min="4360" max="4608" width="9.140625" style="1006"/>
    <col min="4609" max="4609" width="3.7109375" style="1006" customWidth="1"/>
    <col min="4610" max="4610" width="34.7109375" style="1006" customWidth="1"/>
    <col min="4611" max="4611" width="5" style="1006" customWidth="1"/>
    <col min="4612" max="4612" width="6.42578125" style="1006" customWidth="1"/>
    <col min="4613" max="4613" width="19.7109375" style="1006" customWidth="1"/>
    <col min="4614" max="4614" width="12.42578125" style="1006" customWidth="1"/>
    <col min="4615" max="4615" width="9.7109375" style="1006" customWidth="1"/>
    <col min="4616" max="4864" width="9.140625" style="1006"/>
    <col min="4865" max="4865" width="3.7109375" style="1006" customWidth="1"/>
    <col min="4866" max="4866" width="34.7109375" style="1006" customWidth="1"/>
    <col min="4867" max="4867" width="5" style="1006" customWidth="1"/>
    <col min="4868" max="4868" width="6.42578125" style="1006" customWidth="1"/>
    <col min="4869" max="4869" width="19.7109375" style="1006" customWidth="1"/>
    <col min="4870" max="4870" width="12.42578125" style="1006" customWidth="1"/>
    <col min="4871" max="4871" width="9.7109375" style="1006" customWidth="1"/>
    <col min="4872" max="5120" width="9.140625" style="1006"/>
    <col min="5121" max="5121" width="3.7109375" style="1006" customWidth="1"/>
    <col min="5122" max="5122" width="34.7109375" style="1006" customWidth="1"/>
    <col min="5123" max="5123" width="5" style="1006" customWidth="1"/>
    <col min="5124" max="5124" width="6.42578125" style="1006" customWidth="1"/>
    <col min="5125" max="5125" width="19.7109375" style="1006" customWidth="1"/>
    <col min="5126" max="5126" width="12.42578125" style="1006" customWidth="1"/>
    <col min="5127" max="5127" width="9.7109375" style="1006" customWidth="1"/>
    <col min="5128" max="5376" width="9.140625" style="1006"/>
    <col min="5377" max="5377" width="3.7109375" style="1006" customWidth="1"/>
    <col min="5378" max="5378" width="34.7109375" style="1006" customWidth="1"/>
    <col min="5379" max="5379" width="5" style="1006" customWidth="1"/>
    <col min="5380" max="5380" width="6.42578125" style="1006" customWidth="1"/>
    <col min="5381" max="5381" width="19.7109375" style="1006" customWidth="1"/>
    <col min="5382" max="5382" width="12.42578125" style="1006" customWidth="1"/>
    <col min="5383" max="5383" width="9.7109375" style="1006" customWidth="1"/>
    <col min="5384" max="5632" width="9.140625" style="1006"/>
    <col min="5633" max="5633" width="3.7109375" style="1006" customWidth="1"/>
    <col min="5634" max="5634" width="34.7109375" style="1006" customWidth="1"/>
    <col min="5635" max="5635" width="5" style="1006" customWidth="1"/>
    <col min="5636" max="5636" width="6.42578125" style="1006" customWidth="1"/>
    <col min="5637" max="5637" width="19.7109375" style="1006" customWidth="1"/>
    <col min="5638" max="5638" width="12.42578125" style="1006" customWidth="1"/>
    <col min="5639" max="5639" width="9.7109375" style="1006" customWidth="1"/>
    <col min="5640" max="5888" width="9.140625" style="1006"/>
    <col min="5889" max="5889" width="3.7109375" style="1006" customWidth="1"/>
    <col min="5890" max="5890" width="34.7109375" style="1006" customWidth="1"/>
    <col min="5891" max="5891" width="5" style="1006" customWidth="1"/>
    <col min="5892" max="5892" width="6.42578125" style="1006" customWidth="1"/>
    <col min="5893" max="5893" width="19.7109375" style="1006" customWidth="1"/>
    <col min="5894" max="5894" width="12.42578125" style="1006" customWidth="1"/>
    <col min="5895" max="5895" width="9.7109375" style="1006" customWidth="1"/>
    <col min="5896" max="6144" width="9.140625" style="1006"/>
    <col min="6145" max="6145" width="3.7109375" style="1006" customWidth="1"/>
    <col min="6146" max="6146" width="34.7109375" style="1006" customWidth="1"/>
    <col min="6147" max="6147" width="5" style="1006" customWidth="1"/>
    <col min="6148" max="6148" width="6.42578125" style="1006" customWidth="1"/>
    <col min="6149" max="6149" width="19.7109375" style="1006" customWidth="1"/>
    <col min="6150" max="6150" width="12.42578125" style="1006" customWidth="1"/>
    <col min="6151" max="6151" width="9.7109375" style="1006" customWidth="1"/>
    <col min="6152" max="6400" width="9.140625" style="1006"/>
    <col min="6401" max="6401" width="3.7109375" style="1006" customWidth="1"/>
    <col min="6402" max="6402" width="34.7109375" style="1006" customWidth="1"/>
    <col min="6403" max="6403" width="5" style="1006" customWidth="1"/>
    <col min="6404" max="6404" width="6.42578125" style="1006" customWidth="1"/>
    <col min="6405" max="6405" width="19.7109375" style="1006" customWidth="1"/>
    <col min="6406" max="6406" width="12.42578125" style="1006" customWidth="1"/>
    <col min="6407" max="6407" width="9.7109375" style="1006" customWidth="1"/>
    <col min="6408" max="6656" width="9.140625" style="1006"/>
    <col min="6657" max="6657" width="3.7109375" style="1006" customWidth="1"/>
    <col min="6658" max="6658" width="34.7109375" style="1006" customWidth="1"/>
    <col min="6659" max="6659" width="5" style="1006" customWidth="1"/>
    <col min="6660" max="6660" width="6.42578125" style="1006" customWidth="1"/>
    <col min="6661" max="6661" width="19.7109375" style="1006" customWidth="1"/>
    <col min="6662" max="6662" width="12.42578125" style="1006" customWidth="1"/>
    <col min="6663" max="6663" width="9.7109375" style="1006" customWidth="1"/>
    <col min="6664" max="6912" width="9.140625" style="1006"/>
    <col min="6913" max="6913" width="3.7109375" style="1006" customWidth="1"/>
    <col min="6914" max="6914" width="34.7109375" style="1006" customWidth="1"/>
    <col min="6915" max="6915" width="5" style="1006" customWidth="1"/>
    <col min="6916" max="6916" width="6.42578125" style="1006" customWidth="1"/>
    <col min="6917" max="6917" width="19.7109375" style="1006" customWidth="1"/>
    <col min="6918" max="6918" width="12.42578125" style="1006" customWidth="1"/>
    <col min="6919" max="6919" width="9.7109375" style="1006" customWidth="1"/>
    <col min="6920" max="7168" width="9.140625" style="1006"/>
    <col min="7169" max="7169" width="3.7109375" style="1006" customWidth="1"/>
    <col min="7170" max="7170" width="34.7109375" style="1006" customWidth="1"/>
    <col min="7171" max="7171" width="5" style="1006" customWidth="1"/>
    <col min="7172" max="7172" width="6.42578125" style="1006" customWidth="1"/>
    <col min="7173" max="7173" width="19.7109375" style="1006" customWidth="1"/>
    <col min="7174" max="7174" width="12.42578125" style="1006" customWidth="1"/>
    <col min="7175" max="7175" width="9.7109375" style="1006" customWidth="1"/>
    <col min="7176" max="7424" width="9.140625" style="1006"/>
    <col min="7425" max="7425" width="3.7109375" style="1006" customWidth="1"/>
    <col min="7426" max="7426" width="34.7109375" style="1006" customWidth="1"/>
    <col min="7427" max="7427" width="5" style="1006" customWidth="1"/>
    <col min="7428" max="7428" width="6.42578125" style="1006" customWidth="1"/>
    <col min="7429" max="7429" width="19.7109375" style="1006" customWidth="1"/>
    <col min="7430" max="7430" width="12.42578125" style="1006" customWidth="1"/>
    <col min="7431" max="7431" width="9.7109375" style="1006" customWidth="1"/>
    <col min="7432" max="7680" width="9.140625" style="1006"/>
    <col min="7681" max="7681" width="3.7109375" style="1006" customWidth="1"/>
    <col min="7682" max="7682" width="34.7109375" style="1006" customWidth="1"/>
    <col min="7683" max="7683" width="5" style="1006" customWidth="1"/>
    <col min="7684" max="7684" width="6.42578125" style="1006" customWidth="1"/>
    <col min="7685" max="7685" width="19.7109375" style="1006" customWidth="1"/>
    <col min="7686" max="7686" width="12.42578125" style="1006" customWidth="1"/>
    <col min="7687" max="7687" width="9.7109375" style="1006" customWidth="1"/>
    <col min="7688" max="7936" width="9.140625" style="1006"/>
    <col min="7937" max="7937" width="3.7109375" style="1006" customWidth="1"/>
    <col min="7938" max="7938" width="34.7109375" style="1006" customWidth="1"/>
    <col min="7939" max="7939" width="5" style="1006" customWidth="1"/>
    <col min="7940" max="7940" width="6.42578125" style="1006" customWidth="1"/>
    <col min="7941" max="7941" width="19.7109375" style="1006" customWidth="1"/>
    <col min="7942" max="7942" width="12.42578125" style="1006" customWidth="1"/>
    <col min="7943" max="7943" width="9.7109375" style="1006" customWidth="1"/>
    <col min="7944" max="8192" width="9.140625" style="1006"/>
    <col min="8193" max="8193" width="3.7109375" style="1006" customWidth="1"/>
    <col min="8194" max="8194" width="34.7109375" style="1006" customWidth="1"/>
    <col min="8195" max="8195" width="5" style="1006" customWidth="1"/>
    <col min="8196" max="8196" width="6.42578125" style="1006" customWidth="1"/>
    <col min="8197" max="8197" width="19.7109375" style="1006" customWidth="1"/>
    <col min="8198" max="8198" width="12.42578125" style="1006" customWidth="1"/>
    <col min="8199" max="8199" width="9.7109375" style="1006" customWidth="1"/>
    <col min="8200" max="8448" width="9.140625" style="1006"/>
    <col min="8449" max="8449" width="3.7109375" style="1006" customWidth="1"/>
    <col min="8450" max="8450" width="34.7109375" style="1006" customWidth="1"/>
    <col min="8451" max="8451" width="5" style="1006" customWidth="1"/>
    <col min="8452" max="8452" width="6.42578125" style="1006" customWidth="1"/>
    <col min="8453" max="8453" width="19.7109375" style="1006" customWidth="1"/>
    <col min="8454" max="8454" width="12.42578125" style="1006" customWidth="1"/>
    <col min="8455" max="8455" width="9.7109375" style="1006" customWidth="1"/>
    <col min="8456" max="8704" width="9.140625" style="1006"/>
    <col min="8705" max="8705" width="3.7109375" style="1006" customWidth="1"/>
    <col min="8706" max="8706" width="34.7109375" style="1006" customWidth="1"/>
    <col min="8707" max="8707" width="5" style="1006" customWidth="1"/>
    <col min="8708" max="8708" width="6.42578125" style="1006" customWidth="1"/>
    <col min="8709" max="8709" width="19.7109375" style="1006" customWidth="1"/>
    <col min="8710" max="8710" width="12.42578125" style="1006" customWidth="1"/>
    <col min="8711" max="8711" width="9.7109375" style="1006" customWidth="1"/>
    <col min="8712" max="8960" width="9.140625" style="1006"/>
    <col min="8961" max="8961" width="3.7109375" style="1006" customWidth="1"/>
    <col min="8962" max="8962" width="34.7109375" style="1006" customWidth="1"/>
    <col min="8963" max="8963" width="5" style="1006" customWidth="1"/>
    <col min="8964" max="8964" width="6.42578125" style="1006" customWidth="1"/>
    <col min="8965" max="8965" width="19.7109375" style="1006" customWidth="1"/>
    <col min="8966" max="8966" width="12.42578125" style="1006" customWidth="1"/>
    <col min="8967" max="8967" width="9.7109375" style="1006" customWidth="1"/>
    <col min="8968" max="9216" width="9.140625" style="1006"/>
    <col min="9217" max="9217" width="3.7109375" style="1006" customWidth="1"/>
    <col min="9218" max="9218" width="34.7109375" style="1006" customWidth="1"/>
    <col min="9219" max="9219" width="5" style="1006" customWidth="1"/>
    <col min="9220" max="9220" width="6.42578125" style="1006" customWidth="1"/>
    <col min="9221" max="9221" width="19.7109375" style="1006" customWidth="1"/>
    <col min="9222" max="9222" width="12.42578125" style="1006" customWidth="1"/>
    <col min="9223" max="9223" width="9.7109375" style="1006" customWidth="1"/>
    <col min="9224" max="9472" width="9.140625" style="1006"/>
    <col min="9473" max="9473" width="3.7109375" style="1006" customWidth="1"/>
    <col min="9474" max="9474" width="34.7109375" style="1006" customWidth="1"/>
    <col min="9475" max="9475" width="5" style="1006" customWidth="1"/>
    <col min="9476" max="9476" width="6.42578125" style="1006" customWidth="1"/>
    <col min="9477" max="9477" width="19.7109375" style="1006" customWidth="1"/>
    <col min="9478" max="9478" width="12.42578125" style="1006" customWidth="1"/>
    <col min="9479" max="9479" width="9.7109375" style="1006" customWidth="1"/>
    <col min="9480" max="9728" width="9.140625" style="1006"/>
    <col min="9729" max="9729" width="3.7109375" style="1006" customWidth="1"/>
    <col min="9730" max="9730" width="34.7109375" style="1006" customWidth="1"/>
    <col min="9731" max="9731" width="5" style="1006" customWidth="1"/>
    <col min="9732" max="9732" width="6.42578125" style="1006" customWidth="1"/>
    <col min="9733" max="9733" width="19.7109375" style="1006" customWidth="1"/>
    <col min="9734" max="9734" width="12.42578125" style="1006" customWidth="1"/>
    <col min="9735" max="9735" width="9.7109375" style="1006" customWidth="1"/>
    <col min="9736" max="9984" width="9.140625" style="1006"/>
    <col min="9985" max="9985" width="3.7109375" style="1006" customWidth="1"/>
    <col min="9986" max="9986" width="34.7109375" style="1006" customWidth="1"/>
    <col min="9987" max="9987" width="5" style="1006" customWidth="1"/>
    <col min="9988" max="9988" width="6.42578125" style="1006" customWidth="1"/>
    <col min="9989" max="9989" width="19.7109375" style="1006" customWidth="1"/>
    <col min="9990" max="9990" width="12.42578125" style="1006" customWidth="1"/>
    <col min="9991" max="9991" width="9.7109375" style="1006" customWidth="1"/>
    <col min="9992" max="10240" width="9.140625" style="1006"/>
    <col min="10241" max="10241" width="3.7109375" style="1006" customWidth="1"/>
    <col min="10242" max="10242" width="34.7109375" style="1006" customWidth="1"/>
    <col min="10243" max="10243" width="5" style="1006" customWidth="1"/>
    <col min="10244" max="10244" width="6.42578125" style="1006" customWidth="1"/>
    <col min="10245" max="10245" width="19.7109375" style="1006" customWidth="1"/>
    <col min="10246" max="10246" width="12.42578125" style="1006" customWidth="1"/>
    <col min="10247" max="10247" width="9.7109375" style="1006" customWidth="1"/>
    <col min="10248" max="10496" width="9.140625" style="1006"/>
    <col min="10497" max="10497" width="3.7109375" style="1006" customWidth="1"/>
    <col min="10498" max="10498" width="34.7109375" style="1006" customWidth="1"/>
    <col min="10499" max="10499" width="5" style="1006" customWidth="1"/>
    <col min="10500" max="10500" width="6.42578125" style="1006" customWidth="1"/>
    <col min="10501" max="10501" width="19.7109375" style="1006" customWidth="1"/>
    <col min="10502" max="10502" width="12.42578125" style="1006" customWidth="1"/>
    <col min="10503" max="10503" width="9.7109375" style="1006" customWidth="1"/>
    <col min="10504" max="10752" width="9.140625" style="1006"/>
    <col min="10753" max="10753" width="3.7109375" style="1006" customWidth="1"/>
    <col min="10754" max="10754" width="34.7109375" style="1006" customWidth="1"/>
    <col min="10755" max="10755" width="5" style="1006" customWidth="1"/>
    <col min="10756" max="10756" width="6.42578125" style="1006" customWidth="1"/>
    <col min="10757" max="10757" width="19.7109375" style="1006" customWidth="1"/>
    <col min="10758" max="10758" width="12.42578125" style="1006" customWidth="1"/>
    <col min="10759" max="10759" width="9.7109375" style="1006" customWidth="1"/>
    <col min="10760" max="11008" width="9.140625" style="1006"/>
    <col min="11009" max="11009" width="3.7109375" style="1006" customWidth="1"/>
    <col min="11010" max="11010" width="34.7109375" style="1006" customWidth="1"/>
    <col min="11011" max="11011" width="5" style="1006" customWidth="1"/>
    <col min="11012" max="11012" width="6.42578125" style="1006" customWidth="1"/>
    <col min="11013" max="11013" width="19.7109375" style="1006" customWidth="1"/>
    <col min="11014" max="11014" width="12.42578125" style="1006" customWidth="1"/>
    <col min="11015" max="11015" width="9.7109375" style="1006" customWidth="1"/>
    <col min="11016" max="11264" width="9.140625" style="1006"/>
    <col min="11265" max="11265" width="3.7109375" style="1006" customWidth="1"/>
    <col min="11266" max="11266" width="34.7109375" style="1006" customWidth="1"/>
    <col min="11267" max="11267" width="5" style="1006" customWidth="1"/>
    <col min="11268" max="11268" width="6.42578125" style="1006" customWidth="1"/>
    <col min="11269" max="11269" width="19.7109375" style="1006" customWidth="1"/>
    <col min="11270" max="11270" width="12.42578125" style="1006" customWidth="1"/>
    <col min="11271" max="11271" width="9.7109375" style="1006" customWidth="1"/>
    <col min="11272" max="11520" width="9.140625" style="1006"/>
    <col min="11521" max="11521" width="3.7109375" style="1006" customWidth="1"/>
    <col min="11522" max="11522" width="34.7109375" style="1006" customWidth="1"/>
    <col min="11523" max="11523" width="5" style="1006" customWidth="1"/>
    <col min="11524" max="11524" width="6.42578125" style="1006" customWidth="1"/>
    <col min="11525" max="11525" width="19.7109375" style="1006" customWidth="1"/>
    <col min="11526" max="11526" width="12.42578125" style="1006" customWidth="1"/>
    <col min="11527" max="11527" width="9.7109375" style="1006" customWidth="1"/>
    <col min="11528" max="11776" width="9.140625" style="1006"/>
    <col min="11777" max="11777" width="3.7109375" style="1006" customWidth="1"/>
    <col min="11778" max="11778" width="34.7109375" style="1006" customWidth="1"/>
    <col min="11779" max="11779" width="5" style="1006" customWidth="1"/>
    <col min="11780" max="11780" width="6.42578125" style="1006" customWidth="1"/>
    <col min="11781" max="11781" width="19.7109375" style="1006" customWidth="1"/>
    <col min="11782" max="11782" width="12.42578125" style="1006" customWidth="1"/>
    <col min="11783" max="11783" width="9.7109375" style="1006" customWidth="1"/>
    <col min="11784" max="12032" width="9.140625" style="1006"/>
    <col min="12033" max="12033" width="3.7109375" style="1006" customWidth="1"/>
    <col min="12034" max="12034" width="34.7109375" style="1006" customWidth="1"/>
    <col min="12035" max="12035" width="5" style="1006" customWidth="1"/>
    <col min="12036" max="12036" width="6.42578125" style="1006" customWidth="1"/>
    <col min="12037" max="12037" width="19.7109375" style="1006" customWidth="1"/>
    <col min="12038" max="12038" width="12.42578125" style="1006" customWidth="1"/>
    <col min="12039" max="12039" width="9.7109375" style="1006" customWidth="1"/>
    <col min="12040" max="12288" width="9.140625" style="1006"/>
    <col min="12289" max="12289" width="3.7109375" style="1006" customWidth="1"/>
    <col min="12290" max="12290" width="34.7109375" style="1006" customWidth="1"/>
    <col min="12291" max="12291" width="5" style="1006" customWidth="1"/>
    <col min="12292" max="12292" width="6.42578125" style="1006" customWidth="1"/>
    <col min="12293" max="12293" width="19.7109375" style="1006" customWidth="1"/>
    <col min="12294" max="12294" width="12.42578125" style="1006" customWidth="1"/>
    <col min="12295" max="12295" width="9.7109375" style="1006" customWidth="1"/>
    <col min="12296" max="12544" width="9.140625" style="1006"/>
    <col min="12545" max="12545" width="3.7109375" style="1006" customWidth="1"/>
    <col min="12546" max="12546" width="34.7109375" style="1006" customWidth="1"/>
    <col min="12547" max="12547" width="5" style="1006" customWidth="1"/>
    <col min="12548" max="12548" width="6.42578125" style="1006" customWidth="1"/>
    <col min="12549" max="12549" width="19.7109375" style="1006" customWidth="1"/>
    <col min="12550" max="12550" width="12.42578125" style="1006" customWidth="1"/>
    <col min="12551" max="12551" width="9.7109375" style="1006" customWidth="1"/>
    <col min="12552" max="12800" width="9.140625" style="1006"/>
    <col min="12801" max="12801" width="3.7109375" style="1006" customWidth="1"/>
    <col min="12802" max="12802" width="34.7109375" style="1006" customWidth="1"/>
    <col min="12803" max="12803" width="5" style="1006" customWidth="1"/>
    <col min="12804" max="12804" width="6.42578125" style="1006" customWidth="1"/>
    <col min="12805" max="12805" width="19.7109375" style="1006" customWidth="1"/>
    <col min="12806" max="12806" width="12.42578125" style="1006" customWidth="1"/>
    <col min="12807" max="12807" width="9.7109375" style="1006" customWidth="1"/>
    <col min="12808" max="13056" width="9.140625" style="1006"/>
    <col min="13057" max="13057" width="3.7109375" style="1006" customWidth="1"/>
    <col min="13058" max="13058" width="34.7109375" style="1006" customWidth="1"/>
    <col min="13059" max="13059" width="5" style="1006" customWidth="1"/>
    <col min="13060" max="13060" width="6.42578125" style="1006" customWidth="1"/>
    <col min="13061" max="13061" width="19.7109375" style="1006" customWidth="1"/>
    <col min="13062" max="13062" width="12.42578125" style="1006" customWidth="1"/>
    <col min="13063" max="13063" width="9.7109375" style="1006" customWidth="1"/>
    <col min="13064" max="13312" width="9.140625" style="1006"/>
    <col min="13313" max="13313" width="3.7109375" style="1006" customWidth="1"/>
    <col min="13314" max="13314" width="34.7109375" style="1006" customWidth="1"/>
    <col min="13315" max="13315" width="5" style="1006" customWidth="1"/>
    <col min="13316" max="13316" width="6.42578125" style="1006" customWidth="1"/>
    <col min="13317" max="13317" width="19.7109375" style="1006" customWidth="1"/>
    <col min="13318" max="13318" width="12.42578125" style="1006" customWidth="1"/>
    <col min="13319" max="13319" width="9.7109375" style="1006" customWidth="1"/>
    <col min="13320" max="13568" width="9.140625" style="1006"/>
    <col min="13569" max="13569" width="3.7109375" style="1006" customWidth="1"/>
    <col min="13570" max="13570" width="34.7109375" style="1006" customWidth="1"/>
    <col min="13571" max="13571" width="5" style="1006" customWidth="1"/>
    <col min="13572" max="13572" width="6.42578125" style="1006" customWidth="1"/>
    <col min="13573" max="13573" width="19.7109375" style="1006" customWidth="1"/>
    <col min="13574" max="13574" width="12.42578125" style="1006" customWidth="1"/>
    <col min="13575" max="13575" width="9.7109375" style="1006" customWidth="1"/>
    <col min="13576" max="13824" width="9.140625" style="1006"/>
    <col min="13825" max="13825" width="3.7109375" style="1006" customWidth="1"/>
    <col min="13826" max="13826" width="34.7109375" style="1006" customWidth="1"/>
    <col min="13827" max="13827" width="5" style="1006" customWidth="1"/>
    <col min="13828" max="13828" width="6.42578125" style="1006" customWidth="1"/>
    <col min="13829" max="13829" width="19.7109375" style="1006" customWidth="1"/>
    <col min="13830" max="13830" width="12.42578125" style="1006" customWidth="1"/>
    <col min="13831" max="13831" width="9.7109375" style="1006" customWidth="1"/>
    <col min="13832" max="14080" width="9.140625" style="1006"/>
    <col min="14081" max="14081" width="3.7109375" style="1006" customWidth="1"/>
    <col min="14082" max="14082" width="34.7109375" style="1006" customWidth="1"/>
    <col min="14083" max="14083" width="5" style="1006" customWidth="1"/>
    <col min="14084" max="14084" width="6.42578125" style="1006" customWidth="1"/>
    <col min="14085" max="14085" width="19.7109375" style="1006" customWidth="1"/>
    <col min="14086" max="14086" width="12.42578125" style="1006" customWidth="1"/>
    <col min="14087" max="14087" width="9.7109375" style="1006" customWidth="1"/>
    <col min="14088" max="14336" width="9.140625" style="1006"/>
    <col min="14337" max="14337" width="3.7109375" style="1006" customWidth="1"/>
    <col min="14338" max="14338" width="34.7109375" style="1006" customWidth="1"/>
    <col min="14339" max="14339" width="5" style="1006" customWidth="1"/>
    <col min="14340" max="14340" width="6.42578125" style="1006" customWidth="1"/>
    <col min="14341" max="14341" width="19.7109375" style="1006" customWidth="1"/>
    <col min="14342" max="14342" width="12.42578125" style="1006" customWidth="1"/>
    <col min="14343" max="14343" width="9.7109375" style="1006" customWidth="1"/>
    <col min="14344" max="14592" width="9.140625" style="1006"/>
    <col min="14593" max="14593" width="3.7109375" style="1006" customWidth="1"/>
    <col min="14594" max="14594" width="34.7109375" style="1006" customWidth="1"/>
    <col min="14595" max="14595" width="5" style="1006" customWidth="1"/>
    <col min="14596" max="14596" width="6.42578125" style="1006" customWidth="1"/>
    <col min="14597" max="14597" width="19.7109375" style="1006" customWidth="1"/>
    <col min="14598" max="14598" width="12.42578125" style="1006" customWidth="1"/>
    <col min="14599" max="14599" width="9.7109375" style="1006" customWidth="1"/>
    <col min="14600" max="14848" width="9.140625" style="1006"/>
    <col min="14849" max="14849" width="3.7109375" style="1006" customWidth="1"/>
    <col min="14850" max="14850" width="34.7109375" style="1006" customWidth="1"/>
    <col min="14851" max="14851" width="5" style="1006" customWidth="1"/>
    <col min="14852" max="14852" width="6.42578125" style="1006" customWidth="1"/>
    <col min="14853" max="14853" width="19.7109375" style="1006" customWidth="1"/>
    <col min="14854" max="14854" width="12.42578125" style="1006" customWidth="1"/>
    <col min="14855" max="14855" width="9.7109375" style="1006" customWidth="1"/>
    <col min="14856" max="15104" width="9.140625" style="1006"/>
    <col min="15105" max="15105" width="3.7109375" style="1006" customWidth="1"/>
    <col min="15106" max="15106" width="34.7109375" style="1006" customWidth="1"/>
    <col min="15107" max="15107" width="5" style="1006" customWidth="1"/>
    <col min="15108" max="15108" width="6.42578125" style="1006" customWidth="1"/>
    <col min="15109" max="15109" width="19.7109375" style="1006" customWidth="1"/>
    <col min="15110" max="15110" width="12.42578125" style="1006" customWidth="1"/>
    <col min="15111" max="15111" width="9.7109375" style="1006" customWidth="1"/>
    <col min="15112" max="15360" width="9.140625" style="1006"/>
    <col min="15361" max="15361" width="3.7109375" style="1006" customWidth="1"/>
    <col min="15362" max="15362" width="34.7109375" style="1006" customWidth="1"/>
    <col min="15363" max="15363" width="5" style="1006" customWidth="1"/>
    <col min="15364" max="15364" width="6.42578125" style="1006" customWidth="1"/>
    <col min="15365" max="15365" width="19.7109375" style="1006" customWidth="1"/>
    <col min="15366" max="15366" width="12.42578125" style="1006" customWidth="1"/>
    <col min="15367" max="15367" width="9.7109375" style="1006" customWidth="1"/>
    <col min="15368" max="15616" width="9.140625" style="1006"/>
    <col min="15617" max="15617" width="3.7109375" style="1006" customWidth="1"/>
    <col min="15618" max="15618" width="34.7109375" style="1006" customWidth="1"/>
    <col min="15619" max="15619" width="5" style="1006" customWidth="1"/>
    <col min="15620" max="15620" width="6.42578125" style="1006" customWidth="1"/>
    <col min="15621" max="15621" width="19.7109375" style="1006" customWidth="1"/>
    <col min="15622" max="15622" width="12.42578125" style="1006" customWidth="1"/>
    <col min="15623" max="15623" width="9.7109375" style="1006" customWidth="1"/>
    <col min="15624" max="15872" width="9.140625" style="1006"/>
    <col min="15873" max="15873" width="3.7109375" style="1006" customWidth="1"/>
    <col min="15874" max="15874" width="34.7109375" style="1006" customWidth="1"/>
    <col min="15875" max="15875" width="5" style="1006" customWidth="1"/>
    <col min="15876" max="15876" width="6.42578125" style="1006" customWidth="1"/>
    <col min="15877" max="15877" width="19.7109375" style="1006" customWidth="1"/>
    <col min="15878" max="15878" width="12.42578125" style="1006" customWidth="1"/>
    <col min="15879" max="15879" width="9.7109375" style="1006" customWidth="1"/>
    <col min="15880" max="16128" width="9.140625" style="1006"/>
    <col min="16129" max="16129" width="3.7109375" style="1006" customWidth="1"/>
    <col min="16130" max="16130" width="34.7109375" style="1006" customWidth="1"/>
    <col min="16131" max="16131" width="5" style="1006" customWidth="1"/>
    <col min="16132" max="16132" width="6.42578125" style="1006" customWidth="1"/>
    <col min="16133" max="16133" width="19.7109375" style="1006" customWidth="1"/>
    <col min="16134" max="16134" width="12.42578125" style="1006" customWidth="1"/>
    <col min="16135" max="16135" width="9.7109375" style="1006" customWidth="1"/>
    <col min="16136" max="16384" width="9.140625" style="1006"/>
  </cols>
  <sheetData>
    <row r="1" spans="1:7" ht="12.75" hidden="1" customHeight="1">
      <c r="A1" s="1005"/>
      <c r="B1" s="1005"/>
      <c r="C1" s="1005"/>
      <c r="D1" s="1005"/>
      <c r="E1" s="1156" t="s">
        <v>801</v>
      </c>
      <c r="F1" s="1156"/>
      <c r="G1" s="1156"/>
    </row>
    <row r="2" spans="1:7" s="1007" customFormat="1" ht="12.75" customHeight="1">
      <c r="A2" s="1157" t="s">
        <v>760</v>
      </c>
      <c r="B2" s="1157"/>
      <c r="C2" s="1157"/>
      <c r="D2" s="1157"/>
      <c r="E2" s="1157"/>
      <c r="F2" s="1157"/>
      <c r="G2" s="1157"/>
    </row>
    <row r="3" spans="1:7" ht="12.75" customHeight="1">
      <c r="A3" s="1158" t="s">
        <v>761</v>
      </c>
      <c r="B3" s="1158"/>
      <c r="C3" s="1158"/>
      <c r="D3" s="1158"/>
      <c r="E3" s="1158"/>
      <c r="F3" s="1158"/>
      <c r="G3" s="1005"/>
    </row>
    <row r="4" spans="1:7" ht="12.75" customHeight="1" thickBot="1">
      <c r="A4" s="1159"/>
      <c r="B4" s="1159"/>
      <c r="C4" s="1159"/>
      <c r="D4" s="1159"/>
      <c r="E4" s="1159"/>
      <c r="F4" s="1159"/>
    </row>
    <row r="5" spans="1:7" ht="17.25" customHeight="1" thickBot="1">
      <c r="A5" s="1160" t="s">
        <v>762</v>
      </c>
      <c r="B5" s="1161"/>
      <c r="C5" s="1008"/>
      <c r="D5" s="1008"/>
      <c r="E5" s="1152"/>
      <c r="F5" s="1153"/>
      <c r="G5" s="1153"/>
    </row>
    <row r="6" spans="1:7" ht="47.25" customHeight="1">
      <c r="A6" s="1150" t="s">
        <v>763</v>
      </c>
      <c r="B6" s="1151"/>
      <c r="C6" s="1009"/>
      <c r="D6" s="1009"/>
      <c r="E6" s="1152"/>
      <c r="F6" s="1153"/>
      <c r="G6" s="1153"/>
    </row>
    <row r="7" spans="1:7" ht="23.25" customHeight="1" thickBot="1">
      <c r="A7" s="1154" t="s">
        <v>35</v>
      </c>
      <c r="B7" s="1155"/>
      <c r="C7" s="1009"/>
      <c r="D7" s="1009"/>
      <c r="E7" s="1152" t="s">
        <v>17</v>
      </c>
      <c r="F7" s="1153"/>
      <c r="G7" s="1153"/>
    </row>
    <row r="8" spans="1:7" ht="49.5" thickBot="1">
      <c r="A8" s="1010" t="s">
        <v>802</v>
      </c>
      <c r="B8" s="1011" t="s">
        <v>260</v>
      </c>
      <c r="C8" s="1012" t="s">
        <v>140</v>
      </c>
      <c r="D8" s="1012" t="s">
        <v>421</v>
      </c>
      <c r="E8" s="1011" t="s">
        <v>803</v>
      </c>
      <c r="F8" s="1011" t="s">
        <v>804</v>
      </c>
      <c r="G8" s="1011" t="s">
        <v>805</v>
      </c>
    </row>
    <row r="9" spans="1:7" ht="18" customHeight="1" thickBot="1">
      <c r="A9" s="1010">
        <v>1</v>
      </c>
      <c r="B9" s="1011">
        <v>2</v>
      </c>
      <c r="C9" s="1011">
        <v>3</v>
      </c>
      <c r="D9" s="1011">
        <v>4</v>
      </c>
      <c r="E9" s="1011">
        <v>5</v>
      </c>
      <c r="F9" s="1011">
        <v>6</v>
      </c>
      <c r="G9" s="1011">
        <v>7</v>
      </c>
    </row>
    <row r="10" spans="1:7">
      <c r="A10" s="1138" t="s">
        <v>764</v>
      </c>
      <c r="B10" s="1139"/>
      <c r="C10" s="1139"/>
      <c r="D10" s="1139"/>
      <c r="E10" s="1139"/>
      <c r="F10" s="1139"/>
      <c r="G10" s="1140"/>
    </row>
    <row r="11" spans="1:7" ht="12.75" customHeight="1">
      <c r="A11" s="1141" t="s">
        <v>765</v>
      </c>
      <c r="B11" s="1142"/>
      <c r="C11" s="1142"/>
      <c r="D11" s="1142"/>
      <c r="E11" s="1142"/>
      <c r="F11" s="1142"/>
      <c r="G11" s="1143"/>
    </row>
    <row r="12" spans="1:7" ht="12.75" customHeight="1">
      <c r="A12" s="1141" t="s">
        <v>766</v>
      </c>
      <c r="B12" s="1142"/>
      <c r="C12" s="1142"/>
      <c r="D12" s="1142"/>
      <c r="E12" s="1142"/>
      <c r="F12" s="1142"/>
      <c r="G12" s="1143"/>
    </row>
    <row r="13" spans="1:7" ht="12.75" customHeight="1" thickBot="1">
      <c r="A13" s="1144" t="s">
        <v>767</v>
      </c>
      <c r="B13" s="1145"/>
      <c r="C13" s="1145"/>
      <c r="D13" s="1145"/>
      <c r="E13" s="1145"/>
      <c r="F13" s="1145"/>
      <c r="G13" s="1146"/>
    </row>
    <row r="14" spans="1:7" ht="12.75" customHeight="1" thickBot="1">
      <c r="A14" s="1147" t="s">
        <v>261</v>
      </c>
      <c r="B14" s="1148"/>
      <c r="C14" s="1148"/>
      <c r="D14" s="1148"/>
      <c r="E14" s="1148"/>
      <c r="F14" s="1148"/>
      <c r="G14" s="1149"/>
    </row>
    <row r="15" spans="1:7" ht="37.5" thickBot="1">
      <c r="A15" s="1013">
        <v>1</v>
      </c>
      <c r="B15" s="1014" t="s">
        <v>806</v>
      </c>
      <c r="C15" s="1014" t="s">
        <v>142</v>
      </c>
      <c r="D15" s="1014">
        <v>1</v>
      </c>
      <c r="E15" s="1015" t="s">
        <v>807</v>
      </c>
      <c r="F15" s="1016" t="s">
        <v>808</v>
      </c>
      <c r="G15" s="1016">
        <v>52</v>
      </c>
    </row>
    <row r="16" spans="1:7" ht="15.75" thickBot="1">
      <c r="A16" s="1013"/>
      <c r="B16" s="1017" t="s">
        <v>768</v>
      </c>
      <c r="C16" s="1017"/>
      <c r="D16" s="1017"/>
      <c r="E16" s="1015"/>
      <c r="F16" s="1016"/>
      <c r="G16" s="1018">
        <v>52</v>
      </c>
    </row>
    <row r="17" spans="1:7" ht="39" customHeight="1" thickBot="1">
      <c r="A17" s="1013"/>
      <c r="B17" s="1014"/>
      <c r="C17" s="1014"/>
      <c r="D17" s="1014"/>
      <c r="E17" s="1019" t="s">
        <v>262</v>
      </c>
      <c r="F17" s="1016"/>
      <c r="G17" s="1016"/>
    </row>
    <row r="18" spans="1:7" ht="15" customHeight="1" thickBot="1">
      <c r="A18" s="1013">
        <v>2</v>
      </c>
      <c r="B18" s="1014" t="s">
        <v>769</v>
      </c>
      <c r="C18" s="1020" t="s">
        <v>433</v>
      </c>
      <c r="D18" s="1014">
        <v>1</v>
      </c>
      <c r="E18" s="1015" t="s">
        <v>809</v>
      </c>
      <c r="F18" s="1016">
        <v>300</v>
      </c>
      <c r="G18" s="1016">
        <v>300</v>
      </c>
    </row>
    <row r="19" spans="1:7" ht="25.5" thickBot="1">
      <c r="A19" s="1013">
        <v>3</v>
      </c>
      <c r="B19" s="1014" t="s">
        <v>810</v>
      </c>
      <c r="C19" s="1014" t="s">
        <v>688</v>
      </c>
      <c r="D19" s="1014">
        <v>1</v>
      </c>
      <c r="E19" s="1015" t="s">
        <v>811</v>
      </c>
      <c r="F19" s="1016">
        <v>70</v>
      </c>
      <c r="G19" s="1016">
        <v>746</v>
      </c>
    </row>
    <row r="20" spans="1:7" ht="34.5" customHeight="1" thickBot="1">
      <c r="A20" s="1013">
        <v>4</v>
      </c>
      <c r="B20" s="1017" t="s">
        <v>770</v>
      </c>
      <c r="C20" s="1017"/>
      <c r="D20" s="1017"/>
      <c r="E20" s="1015"/>
      <c r="F20" s="1016"/>
      <c r="G20" s="1018">
        <f>SUM(G18:G19)</f>
        <v>1046</v>
      </c>
    </row>
    <row r="21" spans="1:7" ht="37.5" thickBot="1">
      <c r="A21" s="1013">
        <v>5</v>
      </c>
      <c r="B21" s="1014" t="s">
        <v>771</v>
      </c>
      <c r="C21" s="1014"/>
      <c r="D21" s="1014"/>
      <c r="E21" s="1015" t="s">
        <v>812</v>
      </c>
      <c r="F21" s="1016"/>
      <c r="G21" s="1016"/>
    </row>
    <row r="22" spans="1:7" ht="27.75" customHeight="1" thickBot="1">
      <c r="A22" s="1013">
        <v>6</v>
      </c>
      <c r="B22" s="1014" t="s">
        <v>772</v>
      </c>
      <c r="C22" s="1014"/>
      <c r="D22" s="1014"/>
      <c r="E22" s="1015" t="s">
        <v>36</v>
      </c>
      <c r="F22" s="1016" t="s">
        <v>813</v>
      </c>
      <c r="G22" s="1021">
        <f>G16*1.6</f>
        <v>83</v>
      </c>
    </row>
    <row r="23" spans="1:7" ht="31.5" customHeight="1" thickBot="1">
      <c r="A23" s="1013">
        <v>7</v>
      </c>
      <c r="B23" s="1014" t="s">
        <v>773</v>
      </c>
      <c r="C23" s="1014"/>
      <c r="D23" s="1014"/>
      <c r="E23" s="1015" t="s">
        <v>36</v>
      </c>
      <c r="F23" s="1016" t="s">
        <v>814</v>
      </c>
      <c r="G23" s="1021">
        <f>ROUND(G20 * 1.6,0)</f>
        <v>1674</v>
      </c>
    </row>
    <row r="24" spans="1:7" ht="17.25" customHeight="1" thickBot="1">
      <c r="A24" s="1013">
        <v>8</v>
      </c>
      <c r="B24" s="1014" t="s">
        <v>264</v>
      </c>
      <c r="C24" s="1014"/>
      <c r="D24" s="1014"/>
      <c r="E24" s="1015" t="s">
        <v>36</v>
      </c>
      <c r="F24" s="1016" t="s">
        <v>846</v>
      </c>
      <c r="G24" s="1022">
        <v>0</v>
      </c>
    </row>
    <row r="25" spans="1:7">
      <c r="A25" s="1023"/>
      <c r="B25" s="1024"/>
      <c r="C25" s="1024"/>
      <c r="D25" s="1024"/>
      <c r="E25" s="1025"/>
      <c r="F25" s="1026"/>
      <c r="G25" s="1027"/>
    </row>
    <row r="26" spans="1:7" ht="14.25" customHeight="1">
      <c r="A26" s="1028"/>
      <c r="B26" s="1028"/>
      <c r="C26" s="1029"/>
      <c r="D26" s="1029"/>
      <c r="E26" s="1029"/>
      <c r="F26" s="1029"/>
      <c r="G26" s="1029"/>
    </row>
    <row r="27" spans="1:7" s="16" customFormat="1" ht="14.25" customHeight="1">
      <c r="A27" s="1002"/>
      <c r="B27" s="1002" t="s">
        <v>729</v>
      </c>
      <c r="C27" s="1002"/>
      <c r="D27" s="1002"/>
      <c r="E27" s="1002"/>
      <c r="F27" s="1002"/>
      <c r="G27" s="1002"/>
    </row>
    <row r="28" spans="1:7" s="16" customFormat="1" ht="33.75" customHeight="1">
      <c r="A28" s="1082"/>
      <c r="B28" s="1082"/>
      <c r="C28" s="1002"/>
      <c r="D28" s="1002"/>
      <c r="E28" s="1002"/>
      <c r="F28" s="1002"/>
      <c r="G28" s="1002"/>
    </row>
    <row r="29" spans="1:7" s="16" customFormat="1" ht="14.25" customHeight="1">
      <c r="A29" s="1002"/>
      <c r="B29" s="1002" t="s">
        <v>730</v>
      </c>
      <c r="C29" s="1002"/>
      <c r="D29" s="1002"/>
      <c r="E29" s="1002"/>
      <c r="F29" s="1137" t="s">
        <v>577</v>
      </c>
      <c r="G29" s="1137"/>
    </row>
    <row r="30" spans="1:7">
      <c r="A30" s="1029"/>
      <c r="B30" s="1029"/>
      <c r="C30" s="1029"/>
      <c r="D30" s="1029"/>
      <c r="E30" s="1029"/>
      <c r="F30" s="1029"/>
      <c r="G30" s="1029"/>
    </row>
    <row r="31" spans="1:7">
      <c r="A31" s="1029"/>
      <c r="B31" s="1029"/>
      <c r="C31" s="1029"/>
      <c r="D31" s="1029"/>
      <c r="E31" s="1029"/>
      <c r="F31" s="1029"/>
      <c r="G31" s="1029"/>
    </row>
    <row r="32" spans="1:7">
      <c r="A32" s="1029"/>
      <c r="B32" s="1029"/>
      <c r="C32" s="1029"/>
      <c r="D32" s="1029"/>
      <c r="E32" s="1029"/>
      <c r="F32" s="1029"/>
      <c r="G32" s="1029"/>
    </row>
    <row r="33" spans="1:7">
      <c r="A33" s="1029"/>
      <c r="B33" s="1029"/>
      <c r="C33" s="1029"/>
      <c r="D33" s="1029"/>
      <c r="E33" s="1029"/>
      <c r="F33" s="1029"/>
      <c r="G33" s="1029"/>
    </row>
    <row r="34" spans="1:7">
      <c r="A34" s="1029"/>
      <c r="B34" s="1029"/>
      <c r="C34" s="1029"/>
      <c r="D34" s="1029"/>
      <c r="E34" s="1029"/>
      <c r="F34" s="1029"/>
      <c r="G34" s="1029"/>
    </row>
    <row r="41" spans="1:7" ht="3" customHeight="1"/>
    <row r="42" spans="1:7" ht="16.5" customHeight="1"/>
    <row r="48" spans="1:7" ht="22.5" hidden="1" customHeight="1"/>
    <row r="49" ht="25.5" customHeight="1"/>
    <row r="50" ht="25.5" customHeight="1"/>
    <row r="51" ht="25.5" customHeight="1"/>
    <row r="52" ht="27.75" customHeight="1"/>
    <row r="53" ht="29.25" hidden="1" customHeight="1"/>
    <row r="54" ht="26.25" hidden="1" customHeight="1"/>
    <row r="55" ht="15.75" hidden="1" customHeight="1"/>
    <row r="56" ht="15.75" hidden="1" customHeight="1"/>
    <row r="57" ht="15.75" hidden="1" customHeight="1"/>
    <row r="58" ht="15.75" hidden="1" customHeight="1"/>
  </sheetData>
  <mergeCells count="17">
    <mergeCell ref="E1:G1"/>
    <mergeCell ref="A2:G2"/>
    <mergeCell ref="A3:F3"/>
    <mergeCell ref="A4:F4"/>
    <mergeCell ref="A5:B5"/>
    <mergeCell ref="E5:G5"/>
    <mergeCell ref="A6:B6"/>
    <mergeCell ref="E6:G6"/>
    <mergeCell ref="A7:B7"/>
    <mergeCell ref="E7:G7"/>
    <mergeCell ref="A28:B28"/>
    <mergeCell ref="F29:G29"/>
    <mergeCell ref="A10:G10"/>
    <mergeCell ref="A11:G11"/>
    <mergeCell ref="A12:G12"/>
    <mergeCell ref="A13:G13"/>
    <mergeCell ref="A14:G14"/>
  </mergeCells>
  <pageMargins left="0.74803149606299213" right="0.31496062992125984" top="0.59055118110236227" bottom="0.98425196850393704" header="0.51181102362204722" footer="0.51181102362204722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7"/>
  <sheetViews>
    <sheetView view="pageBreakPreview" topLeftCell="A95" zoomScaleNormal="100" zoomScaleSheetLayoutView="100" workbookViewId="0">
      <selection activeCell="G115" sqref="G115"/>
    </sheetView>
  </sheetViews>
  <sheetFormatPr defaultRowHeight="15"/>
  <cols>
    <col min="1" max="1" width="6" style="210" customWidth="1"/>
    <col min="2" max="2" width="26" style="54" customWidth="1"/>
    <col min="3" max="3" width="8.7109375" style="54" customWidth="1"/>
    <col min="4" max="4" width="8.5703125" style="54" customWidth="1"/>
    <col min="5" max="5" width="20.28515625" style="188" customWidth="1"/>
    <col min="6" max="6" width="16.28515625" style="54" customWidth="1"/>
    <col min="7" max="7" width="11.5703125" style="190" customWidth="1"/>
    <col min="8" max="23" width="9.140625" style="16" hidden="1" customWidth="1"/>
    <col min="24" max="24" width="9.42578125" style="16" hidden="1" customWidth="1"/>
    <col min="25" max="31" width="9.140625" style="16" hidden="1" customWidth="1"/>
    <col min="32" max="32" width="0.140625" style="16" customWidth="1"/>
    <col min="33" max="16384" width="9.140625" style="16"/>
  </cols>
  <sheetData>
    <row r="1" spans="1:8" s="53" customFormat="1" ht="22.5" hidden="1" customHeight="1">
      <c r="A1" s="123"/>
      <c r="B1" s="59"/>
      <c r="C1" s="59"/>
      <c r="D1" s="59"/>
      <c r="E1" s="60"/>
      <c r="F1" s="1181" t="s">
        <v>662</v>
      </c>
      <c r="G1" s="1181"/>
      <c r="H1" s="59"/>
    </row>
    <row r="2" spans="1:8" s="53" customFormat="1" ht="9" customHeight="1">
      <c r="A2" s="123"/>
      <c r="B2" s="895"/>
      <c r="C2" s="895"/>
      <c r="D2" s="895"/>
      <c r="E2" s="60"/>
      <c r="F2" s="895"/>
      <c r="G2" s="895"/>
      <c r="H2" s="895"/>
    </row>
    <row r="3" spans="1:8" s="53" customFormat="1" ht="15.75" customHeight="1">
      <c r="A3" s="1182" t="s">
        <v>623</v>
      </c>
      <c r="B3" s="1182"/>
      <c r="C3" s="1182"/>
      <c r="D3" s="1182"/>
      <c r="E3" s="1182"/>
      <c r="F3" s="1182"/>
      <c r="G3" s="1182"/>
    </row>
    <row r="4" spans="1:8" s="53" customFormat="1" ht="15.75" customHeight="1">
      <c r="A4" s="1183" t="s">
        <v>624</v>
      </c>
      <c r="B4" s="1183"/>
      <c r="C4" s="1183"/>
      <c r="D4" s="1183"/>
      <c r="E4" s="1183"/>
      <c r="F4" s="1183"/>
      <c r="G4" s="1183"/>
    </row>
    <row r="5" spans="1:8" s="53" customFormat="1" ht="15.75" customHeight="1">
      <c r="A5" s="196"/>
      <c r="B5" s="61"/>
      <c r="C5" s="61"/>
      <c r="D5" s="61"/>
      <c r="E5" s="60"/>
      <c r="F5" s="61"/>
      <c r="G5" s="190"/>
    </row>
    <row r="6" spans="1:8" s="197" customFormat="1" ht="15" customHeight="1">
      <c r="A6" s="1184" t="s">
        <v>18</v>
      </c>
      <c r="B6" s="1184"/>
      <c r="C6" s="240"/>
      <c r="D6" s="240"/>
      <c r="E6" s="1185"/>
      <c r="F6" s="1185"/>
      <c r="G6" s="1185"/>
    </row>
    <row r="7" spans="1:8" s="197" customFormat="1" ht="10.5" customHeight="1">
      <c r="A7" s="198"/>
      <c r="B7" s="199"/>
      <c r="C7" s="199"/>
      <c r="D7" s="199"/>
      <c r="E7" s="60"/>
      <c r="F7" s="199"/>
      <c r="G7" s="211"/>
    </row>
    <row r="8" spans="1:8" s="197" customFormat="1" ht="13.5" customHeight="1">
      <c r="A8" s="200" t="s">
        <v>105</v>
      </c>
      <c r="B8" s="199"/>
      <c r="C8" s="199"/>
      <c r="D8" s="199"/>
      <c r="E8" s="251"/>
      <c r="F8" s="251"/>
      <c r="G8" s="251"/>
    </row>
    <row r="9" spans="1:8" s="197" customFormat="1" ht="11.25" customHeight="1">
      <c r="A9" s="201"/>
      <c r="B9" s="199"/>
      <c r="C9" s="199"/>
      <c r="D9" s="199"/>
      <c r="E9" s="60"/>
      <c r="F9" s="199"/>
      <c r="G9" s="211"/>
    </row>
    <row r="10" spans="1:8" s="197" customFormat="1" ht="17.25" customHeight="1">
      <c r="A10" s="200" t="s">
        <v>106</v>
      </c>
      <c r="B10" s="199"/>
      <c r="C10" s="199"/>
      <c r="D10" s="199"/>
      <c r="E10" s="1186" t="s">
        <v>24</v>
      </c>
      <c r="F10" s="1186"/>
      <c r="G10" s="211"/>
    </row>
    <row r="11" spans="1:8" s="212" customFormat="1" ht="51" customHeight="1">
      <c r="A11" s="772" t="s">
        <v>23</v>
      </c>
      <c r="B11" s="629" t="s">
        <v>71</v>
      </c>
      <c r="C11" s="628" t="s">
        <v>140</v>
      </c>
      <c r="D11" s="628" t="s">
        <v>141</v>
      </c>
      <c r="E11" s="629" t="s">
        <v>228</v>
      </c>
      <c r="F11" s="629" t="s">
        <v>21</v>
      </c>
      <c r="G11" s="773" t="s">
        <v>72</v>
      </c>
    </row>
    <row r="12" spans="1:8" s="213" customFormat="1" ht="14.25" customHeight="1">
      <c r="A12" s="774">
        <v>1</v>
      </c>
      <c r="B12" s="774">
        <v>2</v>
      </c>
      <c r="C12" s="774">
        <v>3</v>
      </c>
      <c r="D12" s="774">
        <v>4</v>
      </c>
      <c r="E12" s="775">
        <v>5</v>
      </c>
      <c r="F12" s="774">
        <v>6</v>
      </c>
      <c r="G12" s="774">
        <v>7</v>
      </c>
    </row>
    <row r="13" spans="1:8" s="53" customFormat="1" ht="15.75" customHeight="1">
      <c r="A13" s="776" t="s">
        <v>4</v>
      </c>
      <c r="B13" s="1177" t="s">
        <v>123</v>
      </c>
      <c r="C13" s="1178"/>
      <c r="D13" s="1178"/>
      <c r="E13" s="1178"/>
      <c r="F13" s="1179"/>
      <c r="G13" s="777"/>
    </row>
    <row r="14" spans="1:8" s="86" customFormat="1" ht="15.75" customHeight="1">
      <c r="A14" s="737" t="s">
        <v>10</v>
      </c>
      <c r="B14" s="778" t="s">
        <v>437</v>
      </c>
      <c r="C14" s="570" t="s">
        <v>142</v>
      </c>
      <c r="D14" s="570"/>
      <c r="E14" s="571" t="s">
        <v>37</v>
      </c>
      <c r="F14" s="569" t="s">
        <v>642</v>
      </c>
      <c r="G14" s="572">
        <f>33.6*2.7/1000</f>
        <v>9.0999999999999998E-2</v>
      </c>
    </row>
    <row r="15" spans="1:8" s="86" customFormat="1" ht="15" customHeight="1">
      <c r="A15" s="573"/>
      <c r="B15" s="575" t="s">
        <v>438</v>
      </c>
      <c r="C15" s="575"/>
      <c r="D15" s="575"/>
      <c r="E15" s="576" t="s">
        <v>38</v>
      </c>
      <c r="F15" s="574"/>
      <c r="G15" s="577"/>
    </row>
    <row r="16" spans="1:8" s="86" customFormat="1" ht="15" customHeight="1">
      <c r="A16" s="573"/>
      <c r="B16" s="575" t="s">
        <v>439</v>
      </c>
      <c r="C16" s="575"/>
      <c r="D16" s="575"/>
      <c r="E16" s="576" t="s">
        <v>440</v>
      </c>
      <c r="F16" s="574"/>
      <c r="G16" s="577"/>
    </row>
    <row r="17" spans="1:7" s="86" customFormat="1" ht="15" customHeight="1">
      <c r="A17" s="573"/>
      <c r="B17" s="575" t="s">
        <v>125</v>
      </c>
      <c r="C17" s="575"/>
      <c r="D17" s="575"/>
      <c r="E17" s="576"/>
      <c r="F17" s="574"/>
      <c r="G17" s="577"/>
    </row>
    <row r="18" spans="1:7" s="86" customFormat="1" ht="15" customHeight="1">
      <c r="A18" s="578"/>
      <c r="B18" s="575" t="s">
        <v>441</v>
      </c>
      <c r="C18" s="579"/>
      <c r="D18" s="579"/>
      <c r="E18" s="580"/>
      <c r="F18" s="574"/>
      <c r="G18" s="577"/>
    </row>
    <row r="19" spans="1:7" s="86" customFormat="1" ht="15" customHeight="1">
      <c r="A19" s="737" t="s">
        <v>12</v>
      </c>
      <c r="B19" s="569" t="s">
        <v>124</v>
      </c>
      <c r="C19" s="570" t="s">
        <v>142</v>
      </c>
      <c r="D19" s="570"/>
      <c r="E19" s="571" t="s">
        <v>37</v>
      </c>
      <c r="F19" s="569" t="s">
        <v>643</v>
      </c>
      <c r="G19" s="572">
        <f>8.49*2.7*1.25/1000</f>
        <v>2.9000000000000001E-2</v>
      </c>
    </row>
    <row r="20" spans="1:7" s="86" customFormat="1" ht="15" customHeight="1">
      <c r="A20" s="573"/>
      <c r="B20" s="574" t="s">
        <v>442</v>
      </c>
      <c r="C20" s="574"/>
      <c r="D20" s="574"/>
      <c r="E20" s="576" t="s">
        <v>38</v>
      </c>
      <c r="F20" s="574"/>
      <c r="G20" s="577"/>
    </row>
    <row r="21" spans="1:7" s="86" customFormat="1" ht="15" customHeight="1">
      <c r="A21" s="573"/>
      <c r="B21" s="574" t="s">
        <v>443</v>
      </c>
      <c r="C21" s="574"/>
      <c r="D21" s="574"/>
      <c r="E21" s="576" t="s">
        <v>444</v>
      </c>
      <c r="F21" s="574"/>
      <c r="G21" s="577"/>
    </row>
    <row r="22" spans="1:7" s="86" customFormat="1" ht="21.75" customHeight="1">
      <c r="A22" s="573"/>
      <c r="B22" s="574" t="s">
        <v>445</v>
      </c>
      <c r="C22" s="574"/>
      <c r="D22" s="574"/>
      <c r="E22" s="1180" t="s">
        <v>689</v>
      </c>
      <c r="F22" s="574"/>
      <c r="G22" s="577"/>
    </row>
    <row r="23" spans="1:7" s="86" customFormat="1" ht="14.25" customHeight="1">
      <c r="A23" s="573"/>
      <c r="B23" s="574"/>
      <c r="C23" s="586"/>
      <c r="D23" s="574"/>
      <c r="E23" s="1180"/>
      <c r="F23" s="574"/>
      <c r="G23" s="852"/>
    </row>
    <row r="24" spans="1:7" s="86" customFormat="1" ht="14.25" customHeight="1">
      <c r="A24" s="573"/>
      <c r="B24" s="574"/>
      <c r="C24" s="586"/>
      <c r="D24" s="574"/>
      <c r="E24" s="950" t="s">
        <v>690</v>
      </c>
      <c r="F24" s="574"/>
      <c r="G24" s="921"/>
    </row>
    <row r="25" spans="1:7" s="86" customFormat="1" ht="18.75" customHeight="1">
      <c r="A25" s="779"/>
      <c r="B25" s="574"/>
      <c r="C25" s="586"/>
      <c r="D25" s="584"/>
      <c r="E25" s="950" t="s">
        <v>697</v>
      </c>
      <c r="F25" s="584"/>
      <c r="G25" s="582"/>
    </row>
    <row r="26" spans="1:7" s="86" customFormat="1" ht="15" customHeight="1">
      <c r="A26" s="780"/>
      <c r="B26" s="781"/>
      <c r="C26" s="781"/>
      <c r="D26" s="781"/>
      <c r="E26" s="1191" t="s">
        <v>446</v>
      </c>
      <c r="F26" s="1192"/>
      <c r="G26" s="782">
        <f>G14+G19</f>
        <v>0.12</v>
      </c>
    </row>
    <row r="27" spans="1:7" s="86" customFormat="1" ht="30.75" customHeight="1">
      <c r="A27" s="780"/>
      <c r="B27" s="1171" t="s">
        <v>625</v>
      </c>
      <c r="C27" s="1172"/>
      <c r="D27" s="1172"/>
      <c r="E27" s="1172"/>
      <c r="F27" s="1173"/>
      <c r="G27" s="782"/>
    </row>
    <row r="28" spans="1:7" s="86" customFormat="1">
      <c r="A28" s="738" t="s">
        <v>13</v>
      </c>
      <c r="B28" s="574" t="s">
        <v>162</v>
      </c>
      <c r="C28" s="480" t="s">
        <v>147</v>
      </c>
      <c r="D28" s="480"/>
      <c r="E28" s="576" t="s">
        <v>37</v>
      </c>
      <c r="F28" s="574" t="s">
        <v>691</v>
      </c>
      <c r="G28" s="577">
        <f>6.9*2*0.9/1000</f>
        <v>1.2E-2</v>
      </c>
    </row>
    <row r="29" spans="1:7" s="86" customFormat="1" ht="15.75" customHeight="1">
      <c r="A29" s="858"/>
      <c r="B29" s="574" t="s">
        <v>163</v>
      </c>
      <c r="C29" s="574"/>
      <c r="D29" s="574"/>
      <c r="E29" s="576" t="s">
        <v>38</v>
      </c>
      <c r="F29" s="574"/>
      <c r="G29" s="577"/>
    </row>
    <row r="30" spans="1:7" s="86" customFormat="1">
      <c r="A30" s="573"/>
      <c r="B30" s="574" t="s">
        <v>626</v>
      </c>
      <c r="C30" s="574"/>
      <c r="D30" s="574"/>
      <c r="E30" s="576" t="s">
        <v>164</v>
      </c>
      <c r="F30" s="574"/>
      <c r="G30" s="577"/>
    </row>
    <row r="31" spans="1:7" s="86" customFormat="1">
      <c r="A31" s="889" t="s">
        <v>14</v>
      </c>
      <c r="B31" s="569" t="s">
        <v>513</v>
      </c>
      <c r="C31" s="570" t="s">
        <v>147</v>
      </c>
      <c r="D31" s="570"/>
      <c r="E31" s="571" t="s">
        <v>37</v>
      </c>
      <c r="F31" s="569" t="s">
        <v>515</v>
      </c>
      <c r="G31" s="572">
        <f>7.6*42/1000</f>
        <v>0.31900000000000001</v>
      </c>
    </row>
    <row r="32" spans="1:7" s="86" customFormat="1" ht="15" customHeight="1">
      <c r="A32" s="573"/>
      <c r="B32" s="574" t="s">
        <v>627</v>
      </c>
      <c r="C32" s="574"/>
      <c r="D32" s="574"/>
      <c r="E32" s="576" t="s">
        <v>38</v>
      </c>
      <c r="F32" s="574"/>
      <c r="G32" s="880"/>
    </row>
    <row r="33" spans="1:7" s="86" customFormat="1" ht="15" customHeight="1">
      <c r="A33" s="573"/>
      <c r="B33" s="574"/>
      <c r="C33" s="574"/>
      <c r="D33" s="574"/>
      <c r="E33" s="576" t="s">
        <v>514</v>
      </c>
      <c r="F33" s="574"/>
      <c r="G33" s="880"/>
    </row>
    <row r="34" spans="1:7" s="86" customFormat="1" ht="5.25" customHeight="1">
      <c r="A34" s="779"/>
      <c r="B34" s="584"/>
      <c r="C34" s="584"/>
      <c r="D34" s="584"/>
      <c r="E34" s="585"/>
      <c r="F34" s="584"/>
      <c r="G34" s="881"/>
    </row>
    <row r="35" spans="1:7" s="86" customFormat="1">
      <c r="A35" s="738" t="s">
        <v>15</v>
      </c>
      <c r="B35" s="574" t="s">
        <v>628</v>
      </c>
      <c r="C35" s="480" t="s">
        <v>147</v>
      </c>
      <c r="D35" s="480"/>
      <c r="E35" s="576" t="s">
        <v>37</v>
      </c>
      <c r="F35" s="574" t="s">
        <v>692</v>
      </c>
      <c r="G35" s="577">
        <f>7.6*4*2/1000</f>
        <v>6.0999999999999999E-2</v>
      </c>
    </row>
    <row r="36" spans="1:7" s="86" customFormat="1" ht="15" customHeight="1">
      <c r="A36" s="573"/>
      <c r="B36" s="574" t="s">
        <v>629</v>
      </c>
      <c r="C36" s="574"/>
      <c r="D36" s="574"/>
      <c r="E36" s="576" t="s">
        <v>38</v>
      </c>
      <c r="F36" s="574"/>
      <c r="G36" s="577"/>
    </row>
    <row r="37" spans="1:7" s="86" customFormat="1" ht="15" customHeight="1">
      <c r="A37" s="573"/>
      <c r="B37" s="574"/>
      <c r="C37" s="574"/>
      <c r="D37" s="574"/>
      <c r="E37" s="576" t="s">
        <v>630</v>
      </c>
      <c r="F37" s="574"/>
      <c r="G37" s="577"/>
    </row>
    <row r="38" spans="1:7" s="86" customFormat="1" ht="13.5" customHeight="1">
      <c r="A38" s="779"/>
      <c r="B38" s="584"/>
      <c r="C38" s="584"/>
      <c r="D38" s="584"/>
      <c r="E38" s="585"/>
      <c r="F38" s="584"/>
      <c r="G38" s="582"/>
    </row>
    <row r="39" spans="1:7" s="86" customFormat="1" ht="15" customHeight="1">
      <c r="A39" s="737" t="s">
        <v>15</v>
      </c>
      <c r="B39" s="569" t="s">
        <v>166</v>
      </c>
      <c r="C39" s="570" t="s">
        <v>147</v>
      </c>
      <c r="D39" s="570"/>
      <c r="E39" s="571" t="s">
        <v>37</v>
      </c>
      <c r="F39" s="569" t="s">
        <v>417</v>
      </c>
      <c r="G39" s="572">
        <f>9.7*1/1000</f>
        <v>0.01</v>
      </c>
    </row>
    <row r="40" spans="1:7" s="86" customFormat="1" ht="14.25" customHeight="1">
      <c r="A40" s="573"/>
      <c r="B40" s="574"/>
      <c r="C40" s="574"/>
      <c r="D40" s="574"/>
      <c r="E40" s="576" t="s">
        <v>38</v>
      </c>
      <c r="F40" s="574"/>
      <c r="G40" s="577"/>
    </row>
    <row r="41" spans="1:7" s="86" customFormat="1" ht="14.25" customHeight="1">
      <c r="A41" s="1187"/>
      <c r="B41" s="1189"/>
      <c r="C41" s="1189"/>
      <c r="D41" s="1189"/>
      <c r="E41" s="576" t="s">
        <v>167</v>
      </c>
      <c r="F41" s="1189"/>
      <c r="G41" s="1174"/>
    </row>
    <row r="42" spans="1:7" s="86" customFormat="1" ht="5.25" customHeight="1">
      <c r="A42" s="1188"/>
      <c r="B42" s="1190"/>
      <c r="C42" s="1190"/>
      <c r="D42" s="1190"/>
      <c r="E42" s="585"/>
      <c r="F42" s="1190"/>
      <c r="G42" s="1175"/>
    </row>
    <row r="43" spans="1:7" s="86" customFormat="1" ht="14.25" customHeight="1">
      <c r="A43" s="772"/>
      <c r="B43" s="626"/>
      <c r="C43" s="626"/>
      <c r="D43" s="626"/>
      <c r="E43" s="783"/>
      <c r="F43" s="784" t="s">
        <v>126</v>
      </c>
      <c r="G43" s="782">
        <f>SUM(G28:G42)+G26</f>
        <v>0.52200000000000002</v>
      </c>
    </row>
    <row r="44" spans="1:7" s="86" customFormat="1">
      <c r="A44" s="38" t="s">
        <v>165</v>
      </c>
      <c r="B44" s="202" t="s">
        <v>631</v>
      </c>
      <c r="C44" s="202"/>
      <c r="D44" s="202"/>
      <c r="E44" s="49" t="s">
        <v>37</v>
      </c>
      <c r="F44" s="202" t="s">
        <v>644</v>
      </c>
      <c r="G44" s="203">
        <f>G43*1.3</f>
        <v>0.67900000000000005</v>
      </c>
    </row>
    <row r="45" spans="1:7" s="86" customFormat="1" ht="15" customHeight="1">
      <c r="A45" s="5"/>
      <c r="B45" s="121" t="s">
        <v>632</v>
      </c>
      <c r="C45" s="121"/>
      <c r="D45" s="121"/>
      <c r="E45" s="6" t="s">
        <v>38</v>
      </c>
      <c r="F45" s="121"/>
      <c r="G45" s="204"/>
    </row>
    <row r="46" spans="1:7" s="86" customFormat="1" ht="26.25" customHeight="1">
      <c r="A46" s="5"/>
      <c r="B46" s="217" t="s">
        <v>633</v>
      </c>
      <c r="C46" s="217"/>
      <c r="D46" s="217"/>
      <c r="E46" s="6" t="s">
        <v>693</v>
      </c>
      <c r="F46" s="121"/>
      <c r="G46" s="204"/>
    </row>
    <row r="47" spans="1:7" s="86" customFormat="1" ht="14.25" customHeight="1">
      <c r="A47" s="206"/>
      <c r="B47" s="205" t="s">
        <v>634</v>
      </c>
      <c r="C47" s="205"/>
      <c r="D47" s="205"/>
      <c r="E47" s="7" t="s">
        <v>635</v>
      </c>
      <c r="F47" s="205"/>
      <c r="G47" s="66"/>
    </row>
    <row r="48" spans="1:7" s="86" customFormat="1" ht="14.25" customHeight="1">
      <c r="A48" s="689" t="s">
        <v>491</v>
      </c>
      <c r="B48" s="785" t="s">
        <v>39</v>
      </c>
      <c r="C48" s="785"/>
      <c r="D48" s="785"/>
      <c r="E48" s="690" t="s">
        <v>37</v>
      </c>
      <c r="F48" s="614" t="s">
        <v>645</v>
      </c>
      <c r="G48" s="692">
        <f>G44*1.6</f>
        <v>1.0860000000000001</v>
      </c>
    </row>
    <row r="49" spans="1:7" s="86" customFormat="1" ht="14.25" customHeight="1">
      <c r="A49" s="786"/>
      <c r="B49" s="785" t="s">
        <v>40</v>
      </c>
      <c r="C49" s="785"/>
      <c r="D49" s="785"/>
      <c r="E49" s="690" t="s">
        <v>38</v>
      </c>
      <c r="F49" s="614"/>
      <c r="G49" s="787"/>
    </row>
    <row r="50" spans="1:7" s="86" customFormat="1" ht="17.25" customHeight="1">
      <c r="A50" s="786"/>
      <c r="B50" s="785"/>
      <c r="C50" s="785"/>
      <c r="D50" s="785"/>
      <c r="E50" s="690" t="s">
        <v>88</v>
      </c>
      <c r="F50" s="614"/>
      <c r="G50" s="787"/>
    </row>
    <row r="51" spans="1:7" s="86" customFormat="1" ht="14.25" customHeight="1">
      <c r="A51" s="788"/>
      <c r="B51" s="789"/>
      <c r="C51" s="789"/>
      <c r="D51" s="789"/>
      <c r="E51" s="693" t="s">
        <v>89</v>
      </c>
      <c r="F51" s="662"/>
      <c r="G51" s="790"/>
    </row>
    <row r="52" spans="1:7" s="86" customFormat="1" ht="14.25" customHeight="1">
      <c r="A52" s="780"/>
      <c r="B52" s="771"/>
      <c r="C52" s="781"/>
      <c r="D52" s="791"/>
      <c r="E52" s="1168" t="s">
        <v>127</v>
      </c>
      <c r="F52" s="1167"/>
      <c r="G52" s="655">
        <f>G48</f>
        <v>1.0860000000000001</v>
      </c>
    </row>
    <row r="53" spans="1:7" s="86" customFormat="1" ht="14.25" customHeight="1">
      <c r="A53" s="792" t="s">
        <v>5</v>
      </c>
      <c r="B53" s="1177" t="s">
        <v>73</v>
      </c>
      <c r="C53" s="1178"/>
      <c r="D53" s="1178"/>
      <c r="E53" s="1178"/>
      <c r="F53" s="1179"/>
      <c r="G53" s="793"/>
    </row>
    <row r="54" spans="1:7" s="86" customFormat="1" ht="14.25" customHeight="1">
      <c r="A54" s="738" t="s">
        <v>128</v>
      </c>
      <c r="B54" s="575" t="s">
        <v>74</v>
      </c>
      <c r="C54" s="480">
        <v>10</v>
      </c>
      <c r="D54" s="480"/>
      <c r="E54" s="576" t="s">
        <v>37</v>
      </c>
      <c r="F54" s="574" t="s">
        <v>171</v>
      </c>
      <c r="G54" s="577">
        <f>4.3*32/1000</f>
        <v>0.13800000000000001</v>
      </c>
    </row>
    <row r="55" spans="1:7" s="86" customFormat="1" ht="14.25" customHeight="1">
      <c r="A55" s="573"/>
      <c r="B55" s="575" t="s">
        <v>75</v>
      </c>
      <c r="C55" s="480" t="s">
        <v>169</v>
      </c>
      <c r="D55" s="575"/>
      <c r="E55" s="583" t="s">
        <v>38</v>
      </c>
      <c r="F55" s="574"/>
      <c r="G55" s="577"/>
    </row>
    <row r="56" spans="1:7" s="86" customFormat="1" ht="14.25" customHeight="1">
      <c r="A56" s="573"/>
      <c r="B56" s="575" t="s">
        <v>76</v>
      </c>
      <c r="C56" s="480" t="s">
        <v>170</v>
      </c>
      <c r="D56" s="575"/>
      <c r="E56" s="576" t="s">
        <v>77</v>
      </c>
      <c r="F56" s="574"/>
      <c r="G56" s="577"/>
    </row>
    <row r="57" spans="1:7" s="86" customFormat="1" ht="14.25" customHeight="1">
      <c r="A57" s="573"/>
      <c r="B57" s="575" t="s">
        <v>168</v>
      </c>
      <c r="C57" s="575"/>
      <c r="D57" s="575"/>
      <c r="E57" s="576"/>
      <c r="F57" s="574"/>
      <c r="G57" s="577"/>
    </row>
    <row r="58" spans="1:7" s="86" customFormat="1" ht="14.25" customHeight="1">
      <c r="A58" s="737" t="s">
        <v>16</v>
      </c>
      <c r="B58" s="569" t="s">
        <v>78</v>
      </c>
      <c r="C58" s="638" t="s">
        <v>433</v>
      </c>
      <c r="D58" s="570"/>
      <c r="E58" s="571" t="s">
        <v>37</v>
      </c>
      <c r="F58" s="569" t="s">
        <v>79</v>
      </c>
      <c r="G58" s="572">
        <f>800*1.4/1000</f>
        <v>1.1200000000000001</v>
      </c>
    </row>
    <row r="59" spans="1:7" s="86" customFormat="1" ht="14.25" customHeight="1">
      <c r="A59" s="573"/>
      <c r="B59" s="574" t="s">
        <v>80</v>
      </c>
      <c r="C59" s="574"/>
      <c r="D59" s="574"/>
      <c r="E59" s="583" t="s">
        <v>38</v>
      </c>
      <c r="F59" s="574"/>
      <c r="G59" s="577"/>
    </row>
    <row r="60" spans="1:7" s="86" customFormat="1" ht="15" customHeight="1">
      <c r="A60" s="573"/>
      <c r="B60" s="574" t="s">
        <v>81</v>
      </c>
      <c r="C60" s="574"/>
      <c r="D60" s="574"/>
      <c r="E60" s="576" t="s">
        <v>82</v>
      </c>
      <c r="F60" s="574"/>
      <c r="G60" s="577"/>
    </row>
    <row r="61" spans="1:7" s="86" customFormat="1" ht="21" customHeight="1">
      <c r="A61" s="578"/>
      <c r="B61" s="574" t="s">
        <v>83</v>
      </c>
      <c r="C61" s="586"/>
      <c r="D61" s="808"/>
      <c r="E61" s="690" t="s">
        <v>694</v>
      </c>
      <c r="F61" s="808"/>
      <c r="G61" s="921"/>
    </row>
    <row r="62" spans="1:7" s="86" customFormat="1" ht="21" customHeight="1">
      <c r="A62" s="578"/>
      <c r="B62" s="574"/>
      <c r="C62" s="586"/>
      <c r="D62" s="808"/>
      <c r="E62" s="690" t="s">
        <v>695</v>
      </c>
      <c r="F62" s="808"/>
      <c r="G62" s="921"/>
    </row>
    <row r="63" spans="1:7" s="86" customFormat="1" ht="21" customHeight="1">
      <c r="A63" s="779"/>
      <c r="B63" s="584"/>
      <c r="C63" s="584"/>
      <c r="D63" s="584"/>
      <c r="E63" s="693" t="s">
        <v>696</v>
      </c>
      <c r="F63" s="584"/>
      <c r="G63" s="922"/>
    </row>
    <row r="64" spans="1:7" s="86" customFormat="1" ht="15" customHeight="1">
      <c r="A64" s="738" t="s">
        <v>107</v>
      </c>
      <c r="B64" s="574" t="s">
        <v>516</v>
      </c>
      <c r="C64" s="480" t="s">
        <v>447</v>
      </c>
      <c r="D64" s="480"/>
      <c r="E64" s="576" t="s">
        <v>37</v>
      </c>
      <c r="F64" s="574" t="s">
        <v>646</v>
      </c>
      <c r="G64" s="577">
        <f>5.02*26.8/1000</f>
        <v>0.13500000000000001</v>
      </c>
    </row>
    <row r="65" spans="1:7" s="86" customFormat="1" ht="15" customHeight="1">
      <c r="A65" s="738"/>
      <c r="B65" s="574" t="s">
        <v>517</v>
      </c>
      <c r="C65" s="574"/>
      <c r="D65" s="574"/>
      <c r="E65" s="794" t="s">
        <v>38</v>
      </c>
      <c r="F65" s="574"/>
      <c r="G65" s="577"/>
    </row>
    <row r="66" spans="1:7" s="86" customFormat="1" ht="20.25" customHeight="1">
      <c r="A66" s="739"/>
      <c r="B66" s="584"/>
      <c r="C66" s="584"/>
      <c r="D66" s="584"/>
      <c r="E66" s="585" t="s">
        <v>518</v>
      </c>
      <c r="F66" s="584"/>
      <c r="G66" s="582"/>
    </row>
    <row r="67" spans="1:7" s="86" customFormat="1" ht="17.25" customHeight="1">
      <c r="A67" s="737" t="s">
        <v>122</v>
      </c>
      <c r="B67" s="569" t="s">
        <v>124</v>
      </c>
      <c r="C67" s="570" t="s">
        <v>142</v>
      </c>
      <c r="D67" s="570"/>
      <c r="E67" s="571" t="s">
        <v>37</v>
      </c>
      <c r="F67" s="569" t="s">
        <v>647</v>
      </c>
      <c r="G67" s="572">
        <f>2.41*2.7*1.25/1000</f>
        <v>8.0000000000000002E-3</v>
      </c>
    </row>
    <row r="68" spans="1:7" s="86" customFormat="1" ht="15.75" customHeight="1">
      <c r="A68" s="573"/>
      <c r="B68" s="574" t="s">
        <v>442</v>
      </c>
      <c r="C68" s="574"/>
      <c r="D68" s="574"/>
      <c r="E68" s="576" t="s">
        <v>38</v>
      </c>
      <c r="F68" s="574"/>
      <c r="G68" s="577"/>
    </row>
    <row r="69" spans="1:7" s="86" customFormat="1" ht="15" customHeight="1">
      <c r="A69" s="573"/>
      <c r="B69" s="574" t="s">
        <v>443</v>
      </c>
      <c r="C69" s="574"/>
      <c r="D69" s="574"/>
      <c r="E69" s="576" t="s">
        <v>444</v>
      </c>
      <c r="F69" s="574"/>
      <c r="G69" s="577"/>
    </row>
    <row r="70" spans="1:7" s="86" customFormat="1" ht="15" customHeight="1">
      <c r="A70" s="573"/>
      <c r="B70" s="574"/>
      <c r="C70" s="574"/>
      <c r="D70" s="574"/>
      <c r="E70" s="1180" t="s">
        <v>689</v>
      </c>
      <c r="F70" s="574"/>
      <c r="G70" s="921"/>
    </row>
    <row r="71" spans="1:7" s="86" customFormat="1" ht="15" customHeight="1">
      <c r="A71" s="573"/>
      <c r="B71" s="574"/>
      <c r="C71" s="574"/>
      <c r="D71" s="574"/>
      <c r="E71" s="1180"/>
      <c r="F71" s="574"/>
      <c r="G71" s="921"/>
    </row>
    <row r="72" spans="1:7" s="86" customFormat="1" ht="15" customHeight="1">
      <c r="A72" s="573"/>
      <c r="B72" s="574"/>
      <c r="C72" s="574"/>
      <c r="D72" s="574"/>
      <c r="E72" s="950" t="s">
        <v>690</v>
      </c>
      <c r="F72" s="574"/>
      <c r="G72" s="921"/>
    </row>
    <row r="73" spans="1:7" s="86" customFormat="1" ht="15" customHeight="1">
      <c r="A73" s="779"/>
      <c r="B73" s="584" t="s">
        <v>445</v>
      </c>
      <c r="C73" s="584"/>
      <c r="D73" s="584"/>
      <c r="E73" s="693" t="s">
        <v>697</v>
      </c>
      <c r="F73" s="584"/>
      <c r="G73" s="582"/>
    </row>
    <row r="74" spans="1:7" s="86" customFormat="1" ht="15" customHeight="1">
      <c r="A74" s="738" t="s">
        <v>129</v>
      </c>
      <c r="B74" s="575" t="s">
        <v>448</v>
      </c>
      <c r="C74" s="480" t="s">
        <v>142</v>
      </c>
      <c r="D74" s="480"/>
      <c r="E74" s="576" t="s">
        <v>37</v>
      </c>
      <c r="F74" s="574" t="s">
        <v>636</v>
      </c>
      <c r="G74" s="577">
        <f>3.4*0.4/1000</f>
        <v>1E-3</v>
      </c>
    </row>
    <row r="75" spans="1:7" s="86" customFormat="1" ht="15" customHeight="1">
      <c r="A75" s="738"/>
      <c r="B75" s="575" t="s">
        <v>449</v>
      </c>
      <c r="C75" s="575"/>
      <c r="D75" s="575"/>
      <c r="E75" s="583" t="s">
        <v>38</v>
      </c>
      <c r="F75" s="574"/>
      <c r="G75" s="577"/>
    </row>
    <row r="76" spans="1:7" s="86" customFormat="1" ht="16.5" customHeight="1">
      <c r="A76" s="738"/>
      <c r="B76" s="575" t="s">
        <v>439</v>
      </c>
      <c r="C76" s="575"/>
      <c r="D76" s="575"/>
      <c r="E76" s="576" t="s">
        <v>451</v>
      </c>
      <c r="F76" s="574"/>
      <c r="G76" s="577"/>
    </row>
    <row r="77" spans="1:7" s="86" customFormat="1" ht="16.5" customHeight="1">
      <c r="A77" s="738"/>
      <c r="B77" s="575" t="s">
        <v>450</v>
      </c>
      <c r="C77" s="575"/>
      <c r="D77" s="575"/>
      <c r="E77" s="576"/>
      <c r="F77" s="574"/>
      <c r="G77" s="577"/>
    </row>
    <row r="78" spans="1:7" s="86" customFormat="1" ht="16.5" customHeight="1">
      <c r="A78" s="738"/>
      <c r="B78" s="795" t="s">
        <v>452</v>
      </c>
      <c r="C78" s="795"/>
      <c r="D78" s="795"/>
      <c r="E78" s="576"/>
      <c r="F78" s="796"/>
      <c r="G78" s="577"/>
    </row>
    <row r="79" spans="1:7" s="86" customFormat="1" ht="15" customHeight="1">
      <c r="A79" s="737" t="s">
        <v>130</v>
      </c>
      <c r="B79" s="797" t="s">
        <v>96</v>
      </c>
      <c r="C79" s="570" t="s">
        <v>161</v>
      </c>
      <c r="D79" s="570"/>
      <c r="E79" s="571" t="s">
        <v>37</v>
      </c>
      <c r="F79" s="569" t="s">
        <v>637</v>
      </c>
      <c r="G79" s="572">
        <f>13.3*12*1.15*1.3/1000</f>
        <v>0.23899999999999999</v>
      </c>
    </row>
    <row r="80" spans="1:7" s="86" customFormat="1" ht="15" customHeight="1">
      <c r="A80" s="738"/>
      <c r="B80" s="574" t="s">
        <v>97</v>
      </c>
      <c r="C80" s="574"/>
      <c r="D80" s="574"/>
      <c r="E80" s="794" t="s">
        <v>38</v>
      </c>
      <c r="F80" s="574"/>
      <c r="G80" s="577"/>
    </row>
    <row r="81" spans="1:7" s="86" customFormat="1" ht="14.25" customHeight="1">
      <c r="A81" s="738"/>
      <c r="B81" s="798" t="s">
        <v>98</v>
      </c>
      <c r="C81" s="798"/>
      <c r="D81" s="798"/>
      <c r="E81" s="576" t="s">
        <v>99</v>
      </c>
      <c r="F81" s="574"/>
      <c r="G81" s="577"/>
    </row>
    <row r="82" spans="1:7" s="86" customFormat="1" ht="56.25">
      <c r="A82" s="738"/>
      <c r="B82" s="952" t="s">
        <v>100</v>
      </c>
      <c r="C82" s="799"/>
      <c r="D82" s="226"/>
      <c r="E82" s="690" t="s">
        <v>699</v>
      </c>
      <c r="F82" s="796"/>
      <c r="G82" s="577"/>
    </row>
    <row r="83" spans="1:7" s="86" customFormat="1" ht="56.25">
      <c r="A83" s="925"/>
      <c r="B83" s="226"/>
      <c r="C83" s="951"/>
      <c r="D83" s="799"/>
      <c r="E83" s="690" t="s">
        <v>700</v>
      </c>
      <c r="F83" s="796"/>
      <c r="G83" s="921"/>
    </row>
    <row r="84" spans="1:7" s="86" customFormat="1" ht="22.5">
      <c r="A84" s="925"/>
      <c r="B84" s="226"/>
      <c r="C84" s="951"/>
      <c r="D84" s="799"/>
      <c r="E84" s="690" t="s">
        <v>701</v>
      </c>
      <c r="F84" s="796"/>
      <c r="G84" s="921"/>
    </row>
    <row r="85" spans="1:7" s="86" customFormat="1" ht="45">
      <c r="A85" s="925"/>
      <c r="B85" s="226"/>
      <c r="C85" s="951"/>
      <c r="D85" s="799"/>
      <c r="E85" s="690" t="s">
        <v>702</v>
      </c>
      <c r="F85" s="796"/>
      <c r="G85" s="921"/>
    </row>
    <row r="86" spans="1:7" s="86" customFormat="1" ht="46.5" customHeight="1">
      <c r="A86" s="925"/>
      <c r="B86" s="226" t="s">
        <v>638</v>
      </c>
      <c r="C86" s="951"/>
      <c r="D86" s="799"/>
      <c r="E86" s="690" t="s">
        <v>698</v>
      </c>
      <c r="F86" s="796"/>
      <c r="G86" s="921"/>
    </row>
    <row r="87" spans="1:7" s="86" customFormat="1">
      <c r="A87" s="738" t="s">
        <v>87</v>
      </c>
      <c r="B87" s="800" t="s">
        <v>91</v>
      </c>
      <c r="C87" s="480" t="s">
        <v>447</v>
      </c>
      <c r="D87" s="480"/>
      <c r="E87" s="576" t="s">
        <v>37</v>
      </c>
      <c r="F87" s="569" t="s">
        <v>648</v>
      </c>
      <c r="G87" s="572">
        <f>5.02*26.8*5/1000</f>
        <v>0.67300000000000004</v>
      </c>
    </row>
    <row r="88" spans="1:7" s="86" customFormat="1" ht="12.75" customHeight="1">
      <c r="A88" s="738"/>
      <c r="B88" s="574" t="s">
        <v>92</v>
      </c>
      <c r="C88" s="574"/>
      <c r="D88" s="574"/>
      <c r="E88" s="583" t="s">
        <v>38</v>
      </c>
      <c r="F88" s="574"/>
      <c r="G88" s="577"/>
    </row>
    <row r="89" spans="1:7" s="86" customFormat="1" ht="19.5" customHeight="1">
      <c r="A89" s="739"/>
      <c r="B89" s="801" t="s">
        <v>455</v>
      </c>
      <c r="C89" s="584"/>
      <c r="D89" s="584"/>
      <c r="E89" s="585" t="s">
        <v>456</v>
      </c>
      <c r="F89" s="584"/>
      <c r="G89" s="582"/>
    </row>
    <row r="90" spans="1:7" s="86" customFormat="1" ht="15" customHeight="1">
      <c r="A90" s="780"/>
      <c r="B90" s="771"/>
      <c r="C90" s="791"/>
      <c r="D90" s="791"/>
      <c r="E90" s="802"/>
      <c r="F90" s="803" t="s">
        <v>9</v>
      </c>
      <c r="G90" s="655">
        <f>SUM(G54:G89)</f>
        <v>2.3140000000000001</v>
      </c>
    </row>
    <row r="91" spans="1:7" s="86" customFormat="1">
      <c r="A91" s="737" t="s">
        <v>453</v>
      </c>
      <c r="B91" s="569" t="s">
        <v>84</v>
      </c>
      <c r="C91" s="569"/>
      <c r="D91" s="569"/>
      <c r="E91" s="49" t="s">
        <v>37</v>
      </c>
      <c r="F91" s="202" t="s">
        <v>663</v>
      </c>
      <c r="G91" s="203">
        <f>G90*1.25*1.1*0.25</f>
        <v>0.79500000000000004</v>
      </c>
    </row>
    <row r="92" spans="1:7" s="86" customFormat="1" ht="19.5" customHeight="1">
      <c r="A92" s="573"/>
      <c r="B92" s="574" t="s">
        <v>85</v>
      </c>
      <c r="C92" s="574" t="s">
        <v>688</v>
      </c>
      <c r="D92" s="574"/>
      <c r="E92" s="6" t="s">
        <v>38</v>
      </c>
      <c r="F92" s="121" t="s">
        <v>457</v>
      </c>
      <c r="G92" s="204"/>
    </row>
    <row r="93" spans="1:7" s="86" customFormat="1">
      <c r="A93" s="573"/>
      <c r="B93" s="575" t="s">
        <v>639</v>
      </c>
      <c r="C93" s="574"/>
      <c r="D93" s="574"/>
      <c r="E93" s="6" t="s">
        <v>86</v>
      </c>
      <c r="F93" s="121"/>
      <c r="G93" s="204"/>
    </row>
    <row r="94" spans="1:7" s="86" customFormat="1" ht="56.25">
      <c r="A94" s="573"/>
      <c r="B94" s="575"/>
      <c r="C94" s="574"/>
      <c r="D94" s="574"/>
      <c r="E94" s="953" t="s">
        <v>703</v>
      </c>
      <c r="F94" s="121"/>
      <c r="G94" s="204"/>
    </row>
    <row r="95" spans="1:7" s="86" customFormat="1" ht="33.75">
      <c r="A95" s="573"/>
      <c r="B95" s="575"/>
      <c r="C95" s="574"/>
      <c r="D95" s="574"/>
      <c r="E95" s="953" t="s">
        <v>704</v>
      </c>
      <c r="F95" s="121"/>
      <c r="G95" s="204"/>
    </row>
    <row r="96" spans="1:7" s="86" customFormat="1">
      <c r="A96" s="573"/>
      <c r="B96" s="575"/>
      <c r="C96" s="574"/>
      <c r="D96" s="574"/>
      <c r="E96" s="7" t="s">
        <v>640</v>
      </c>
      <c r="F96" s="205"/>
      <c r="G96" s="66"/>
    </row>
    <row r="97" spans="1:7" s="86" customFormat="1" ht="15" customHeight="1">
      <c r="A97" s="780"/>
      <c r="B97" s="771"/>
      <c r="C97" s="791"/>
      <c r="D97" s="791"/>
      <c r="E97" s="1166" t="s">
        <v>131</v>
      </c>
      <c r="F97" s="1167"/>
      <c r="G97" s="655">
        <f>SUM(G90:G93)</f>
        <v>3.109</v>
      </c>
    </row>
    <row r="98" spans="1:7" s="86" customFormat="1" ht="15" customHeight="1">
      <c r="A98" s="689" t="s">
        <v>454</v>
      </c>
      <c r="B98" s="785" t="s">
        <v>39</v>
      </c>
      <c r="C98" s="785"/>
      <c r="D98" s="785"/>
      <c r="E98" s="690" t="s">
        <v>37</v>
      </c>
      <c r="F98" s="614" t="s">
        <v>649</v>
      </c>
      <c r="G98" s="692">
        <f>G97*1.6</f>
        <v>4.9740000000000002</v>
      </c>
    </row>
    <row r="99" spans="1:7" s="86" customFormat="1" ht="15" customHeight="1">
      <c r="A99" s="786"/>
      <c r="B99" s="785" t="s">
        <v>40</v>
      </c>
      <c r="C99" s="785"/>
      <c r="D99" s="785"/>
      <c r="E99" s="794" t="s">
        <v>38</v>
      </c>
      <c r="F99" s="614"/>
      <c r="G99" s="787"/>
    </row>
    <row r="100" spans="1:7" s="86" customFormat="1" ht="15" customHeight="1">
      <c r="A100" s="786"/>
      <c r="B100" s="785"/>
      <c r="C100" s="785"/>
      <c r="D100" s="785"/>
      <c r="E100" s="794" t="s">
        <v>88</v>
      </c>
      <c r="F100" s="614"/>
      <c r="G100" s="787"/>
    </row>
    <row r="101" spans="1:7" s="86" customFormat="1" ht="15" customHeight="1">
      <c r="A101" s="788"/>
      <c r="B101" s="789"/>
      <c r="C101" s="789"/>
      <c r="D101" s="789"/>
      <c r="E101" s="693" t="s">
        <v>89</v>
      </c>
      <c r="F101" s="662"/>
      <c r="G101" s="790"/>
    </row>
    <row r="102" spans="1:7" s="86" customFormat="1" ht="15" customHeight="1">
      <c r="A102" s="780"/>
      <c r="B102" s="771"/>
      <c r="C102" s="791"/>
      <c r="D102" s="791"/>
      <c r="E102" s="1166" t="s">
        <v>90</v>
      </c>
      <c r="F102" s="1167"/>
      <c r="G102" s="655">
        <f>G98</f>
        <v>4.9740000000000002</v>
      </c>
    </row>
    <row r="103" spans="1:7" s="86" customFormat="1" ht="15" customHeight="1">
      <c r="A103" s="780"/>
      <c r="B103" s="771"/>
      <c r="C103" s="791"/>
      <c r="D103" s="791"/>
      <c r="E103" s="1166" t="s">
        <v>132</v>
      </c>
      <c r="F103" s="1167"/>
      <c r="G103" s="655">
        <f>G52+G102</f>
        <v>6.06</v>
      </c>
    </row>
    <row r="104" spans="1:7" s="86" customFormat="1" ht="15" customHeight="1">
      <c r="A104" s="804" t="s">
        <v>6</v>
      </c>
      <c r="B104" s="1163" t="s">
        <v>458</v>
      </c>
      <c r="C104" s="1164"/>
      <c r="D104" s="1164"/>
      <c r="E104" s="1164"/>
      <c r="F104" s="1165"/>
      <c r="G104" s="692"/>
    </row>
    <row r="105" spans="1:7" s="86" customFormat="1" ht="15" customHeight="1">
      <c r="A105" s="737" t="s">
        <v>459</v>
      </c>
      <c r="B105" s="805" t="s">
        <v>460</v>
      </c>
      <c r="C105" s="570" t="s">
        <v>147</v>
      </c>
      <c r="D105" s="570"/>
      <c r="E105" s="806" t="s">
        <v>37</v>
      </c>
      <c r="F105" s="691" t="s">
        <v>461</v>
      </c>
      <c r="G105" s="807">
        <f>17.4/1000</f>
        <v>1.7000000000000001E-2</v>
      </c>
    </row>
    <row r="106" spans="1:7" s="86" customFormat="1" ht="14.25" customHeight="1">
      <c r="A106" s="738"/>
      <c r="B106" s="808" t="s">
        <v>462</v>
      </c>
      <c r="C106" s="480"/>
      <c r="D106" s="480"/>
      <c r="E106" s="794" t="s">
        <v>38</v>
      </c>
      <c r="F106" s="614"/>
      <c r="G106" s="787"/>
    </row>
    <row r="107" spans="1:7" s="86" customFormat="1" ht="8.25" customHeight="1">
      <c r="A107" s="738"/>
      <c r="B107" s="808"/>
      <c r="C107" s="480"/>
      <c r="D107" s="480"/>
      <c r="E107" s="794" t="s">
        <v>463</v>
      </c>
      <c r="F107" s="614"/>
      <c r="G107" s="787"/>
    </row>
    <row r="108" spans="1:7" s="86" customFormat="1" ht="2.25" hidden="1" customHeight="1">
      <c r="A108" s="739"/>
      <c r="B108" s="809"/>
      <c r="C108" s="810"/>
      <c r="D108" s="810"/>
      <c r="E108" s="693"/>
      <c r="F108" s="662"/>
      <c r="G108" s="790"/>
    </row>
    <row r="109" spans="1:7" s="86" customFormat="1" ht="14.25" customHeight="1">
      <c r="A109" s="738" t="s">
        <v>464</v>
      </c>
      <c r="B109" s="808" t="s">
        <v>465</v>
      </c>
      <c r="C109" s="570" t="s">
        <v>147</v>
      </c>
      <c r="D109" s="811"/>
      <c r="E109" s="806" t="s">
        <v>37</v>
      </c>
      <c r="F109" s="691" t="s">
        <v>641</v>
      </c>
      <c r="G109" s="807">
        <f>50.7*5/1000</f>
        <v>0.254</v>
      </c>
    </row>
    <row r="110" spans="1:7" s="86" customFormat="1" ht="14.25" customHeight="1">
      <c r="A110" s="738"/>
      <c r="B110" s="808" t="s">
        <v>466</v>
      </c>
      <c r="C110" s="574"/>
      <c r="D110" s="586"/>
      <c r="E110" s="794" t="s">
        <v>38</v>
      </c>
      <c r="F110" s="614"/>
      <c r="G110" s="787"/>
    </row>
    <row r="111" spans="1:7" s="86" customFormat="1" ht="12" customHeight="1">
      <c r="A111" s="573"/>
      <c r="B111" s="808"/>
      <c r="C111" s="584"/>
      <c r="D111" s="586"/>
      <c r="E111" s="794" t="s">
        <v>467</v>
      </c>
      <c r="F111" s="614"/>
      <c r="G111" s="787"/>
    </row>
    <row r="112" spans="1:7" s="86" customFormat="1" ht="14.25" customHeight="1">
      <c r="A112" s="812"/>
      <c r="B112" s="805"/>
      <c r="C112" s="813"/>
      <c r="D112" s="813"/>
      <c r="E112" s="1166" t="s">
        <v>468</v>
      </c>
      <c r="F112" s="1167"/>
      <c r="G112" s="807">
        <f>SUM(G105:G109)</f>
        <v>0.27100000000000002</v>
      </c>
    </row>
    <row r="113" spans="1:7" s="212" customFormat="1" ht="14.25" customHeight="1">
      <c r="A113" s="812"/>
      <c r="B113" s="805"/>
      <c r="C113" s="813"/>
      <c r="D113" s="813"/>
      <c r="E113" s="1166" t="s">
        <v>469</v>
      </c>
      <c r="F113" s="1167"/>
      <c r="G113" s="807">
        <f>G103+G112</f>
        <v>6.3310000000000004</v>
      </c>
    </row>
    <row r="114" spans="1:7" s="212" customFormat="1" ht="14.25" customHeight="1">
      <c r="A114" s="814" t="s">
        <v>135</v>
      </c>
      <c r="B114" s="815" t="s">
        <v>41</v>
      </c>
      <c r="C114" s="815"/>
      <c r="D114" s="815"/>
      <c r="E114" s="806" t="s">
        <v>172</v>
      </c>
      <c r="F114" s="691" t="s">
        <v>866</v>
      </c>
      <c r="G114" s="807">
        <f>(G103+G112)*0</f>
        <v>0</v>
      </c>
    </row>
    <row r="115" spans="1:7" s="212" customFormat="1" ht="14.25" customHeight="1">
      <c r="A115" s="788"/>
      <c r="B115" s="789" t="s">
        <v>42</v>
      </c>
      <c r="C115" s="789"/>
      <c r="D115" s="789"/>
      <c r="E115" s="693" t="s">
        <v>470</v>
      </c>
      <c r="F115" s="662"/>
      <c r="G115" s="790"/>
    </row>
    <row r="116" spans="1:7" s="212" customFormat="1" ht="14.25" customHeight="1">
      <c r="A116" s="788"/>
      <c r="B116" s="816"/>
      <c r="C116" s="789"/>
      <c r="D116" s="789"/>
      <c r="E116" s="1168" t="s">
        <v>19</v>
      </c>
      <c r="F116" s="1167"/>
      <c r="G116" s="694">
        <f>SUM(G114:G115)</f>
        <v>0</v>
      </c>
    </row>
    <row r="117" spans="1:7">
      <c r="A117" s="788"/>
      <c r="B117" s="816"/>
      <c r="C117" s="817"/>
      <c r="D117" s="817"/>
      <c r="E117" s="1166" t="s">
        <v>33</v>
      </c>
      <c r="F117" s="1167"/>
      <c r="G117" s="655">
        <f>G116</f>
        <v>0</v>
      </c>
    </row>
    <row r="118" spans="1:7" ht="9" customHeight="1">
      <c r="A118" s="208"/>
      <c r="F118" s="209"/>
    </row>
    <row r="119" spans="1:7" ht="15.75" customHeight="1">
      <c r="A119" s="1169"/>
      <c r="B119" s="1169"/>
      <c r="C119" s="1170"/>
      <c r="D119" s="1170"/>
      <c r="E119" s="818"/>
      <c r="F119" s="818"/>
      <c r="G119" s="818"/>
    </row>
    <row r="120" spans="1:7" ht="18" customHeight="1">
      <c r="A120" s="71"/>
      <c r="B120" s="71"/>
      <c r="C120" s="71"/>
      <c r="D120" s="71"/>
      <c r="E120" s="71"/>
      <c r="F120" s="71"/>
      <c r="G120" s="71"/>
    </row>
    <row r="121" spans="1:7" ht="14.25" customHeight="1">
      <c r="A121" s="71"/>
      <c r="B121" s="71" t="s">
        <v>729</v>
      </c>
      <c r="C121" s="71"/>
      <c r="D121" s="71"/>
      <c r="E121" s="71"/>
      <c r="F121" s="71"/>
      <c r="G121" s="71"/>
    </row>
    <row r="122" spans="1:7" ht="33.75" customHeight="1">
      <c r="A122" s="1082"/>
      <c r="B122" s="1082"/>
      <c r="C122" s="71"/>
      <c r="D122" s="71"/>
      <c r="E122" s="71"/>
      <c r="F122" s="71"/>
      <c r="G122" s="71"/>
    </row>
    <row r="123" spans="1:7" ht="14.25" customHeight="1">
      <c r="A123" s="71"/>
      <c r="B123" s="71" t="s">
        <v>730</v>
      </c>
      <c r="C123" s="71"/>
      <c r="D123" s="71"/>
      <c r="E123" s="71"/>
      <c r="F123" s="1137" t="s">
        <v>577</v>
      </c>
      <c r="G123" s="1137"/>
    </row>
    <row r="124" spans="1:7" ht="14.25" customHeight="1">
      <c r="A124" s="1176"/>
      <c r="B124" s="1176"/>
      <c r="C124" s="63"/>
      <c r="D124" s="63"/>
      <c r="E124" s="61"/>
      <c r="F124" s="59"/>
      <c r="G124" s="83"/>
    </row>
    <row r="125" spans="1:7" ht="11.25" customHeight="1">
      <c r="A125" s="71"/>
      <c r="B125" s="63"/>
      <c r="C125" s="63"/>
      <c r="D125" s="63"/>
      <c r="E125" s="54"/>
      <c r="F125" s="84"/>
      <c r="G125" s="75"/>
    </row>
    <row r="126" spans="1:7" ht="15.75">
      <c r="A126" s="76"/>
      <c r="B126" s="76"/>
      <c r="C126" s="76"/>
      <c r="D126" s="76"/>
      <c r="E126" s="61"/>
      <c r="F126" s="882"/>
      <c r="G126" s="83"/>
    </row>
    <row r="127" spans="1:7" ht="4.5" customHeight="1">
      <c r="A127" s="76"/>
      <c r="B127" s="76"/>
      <c r="C127" s="76"/>
      <c r="D127" s="76"/>
      <c r="E127" s="61"/>
      <c r="F127" s="59"/>
      <c r="G127" s="83"/>
    </row>
    <row r="128" spans="1:7" s="13" customFormat="1" ht="16.5" hidden="1" customHeight="1">
      <c r="A128" s="77" t="s">
        <v>29</v>
      </c>
      <c r="B128" s="1"/>
      <c r="C128" s="1"/>
      <c r="D128" s="1"/>
      <c r="E128" s="1"/>
      <c r="F128" s="78"/>
      <c r="G128" s="1"/>
    </row>
    <row r="129" spans="1:7" s="13" customFormat="1" ht="3" hidden="1" customHeight="1">
      <c r="A129"/>
      <c r="B129"/>
      <c r="C129"/>
      <c r="D129"/>
      <c r="E129"/>
      <c r="F129" s="79"/>
      <c r="G129"/>
    </row>
    <row r="130" spans="1:7" s="13" customFormat="1" ht="6" hidden="1" customHeight="1">
      <c r="A130" s="80"/>
      <c r="B130" s="80"/>
      <c r="C130" s="80"/>
      <c r="D130" s="80"/>
      <c r="E130" s="80"/>
      <c r="F130" s="50"/>
      <c r="G130" s="80"/>
    </row>
    <row r="131" spans="1:7" s="53" customFormat="1" ht="23.25" hidden="1" customHeight="1">
      <c r="A131" s="62" t="s">
        <v>575</v>
      </c>
      <c r="B131" s="61"/>
      <c r="C131" s="61"/>
      <c r="D131" s="61"/>
      <c r="E131" s="60"/>
      <c r="F131" s="81"/>
      <c r="G131" s="82"/>
    </row>
    <row r="132" spans="1:7" s="53" customFormat="1" ht="15.75" hidden="1">
      <c r="A132" s="62"/>
      <c r="B132" s="61"/>
      <c r="C132" s="61"/>
      <c r="D132" s="61"/>
      <c r="E132" s="60"/>
      <c r="F132" s="59"/>
    </row>
    <row r="133" spans="1:7" s="13" customFormat="1" ht="15" hidden="1" customHeight="1">
      <c r="A133" s="51" t="str">
        <f>[1]см3!A47</f>
        <v>Инженер I категории отдела ОПИР</v>
      </c>
      <c r="B133" s="51"/>
      <c r="C133" s="51"/>
      <c r="D133" s="51"/>
      <c r="E133" s="51"/>
      <c r="F133" s="195" t="s">
        <v>573</v>
      </c>
      <c r="G133" s="51"/>
    </row>
    <row r="134" spans="1:7" s="13" customFormat="1" ht="15" hidden="1" customHeight="1">
      <c r="A134" s="51"/>
      <c r="B134" s="51"/>
      <c r="C134" s="51"/>
      <c r="D134" s="51"/>
      <c r="E134" s="51"/>
      <c r="F134" s="59"/>
      <c r="G134" s="64"/>
    </row>
    <row r="135" spans="1:7" s="13" customFormat="1" ht="15.75" hidden="1" customHeight="1">
      <c r="A135" s="1162" t="str">
        <f>[1]см1!A98</f>
        <v>Инженер II категории ОЦиПТД по КСиРО</v>
      </c>
      <c r="B135" s="1162"/>
      <c r="C135" s="1162"/>
      <c r="D135" s="1162"/>
      <c r="E135" s="51"/>
      <c r="F135" s="195" t="s">
        <v>577</v>
      </c>
      <c r="G135" s="51"/>
    </row>
    <row r="136" spans="1:7" ht="18.75" customHeight="1">
      <c r="A136" s="51"/>
      <c r="B136" s="51"/>
      <c r="C136" s="51"/>
      <c r="D136" s="51"/>
      <c r="E136" s="51"/>
      <c r="F136" s="123"/>
      <c r="G136" s="51"/>
    </row>
    <row r="137" spans="1:7" ht="4.5" customHeight="1">
      <c r="A137" s="76"/>
      <c r="B137" s="76"/>
      <c r="C137" s="76"/>
      <c r="D137" s="76"/>
      <c r="E137" s="61"/>
      <c r="F137" s="59"/>
      <c r="G137" s="83"/>
    </row>
  </sheetData>
  <mergeCells count="33">
    <mergeCell ref="E22:E23"/>
    <mergeCell ref="E102:F102"/>
    <mergeCell ref="E70:E71"/>
    <mergeCell ref="F1:G1"/>
    <mergeCell ref="A3:G3"/>
    <mergeCell ref="A4:G4"/>
    <mergeCell ref="A6:B6"/>
    <mergeCell ref="E6:G6"/>
    <mergeCell ref="E10:F10"/>
    <mergeCell ref="A41:A42"/>
    <mergeCell ref="B41:B42"/>
    <mergeCell ref="C41:C42"/>
    <mergeCell ref="D41:D42"/>
    <mergeCell ref="F41:F42"/>
    <mergeCell ref="B13:F13"/>
    <mergeCell ref="E26:F26"/>
    <mergeCell ref="B27:F27"/>
    <mergeCell ref="F123:G123"/>
    <mergeCell ref="G41:G42"/>
    <mergeCell ref="A122:B122"/>
    <mergeCell ref="A124:B124"/>
    <mergeCell ref="E103:F103"/>
    <mergeCell ref="E52:F52"/>
    <mergeCell ref="B53:F53"/>
    <mergeCell ref="E97:F97"/>
    <mergeCell ref="A135:D135"/>
    <mergeCell ref="B104:F104"/>
    <mergeCell ref="E112:F112"/>
    <mergeCell ref="E113:F113"/>
    <mergeCell ref="E116:F116"/>
    <mergeCell ref="E117:F117"/>
    <mergeCell ref="A119:B119"/>
    <mergeCell ref="C119:D119"/>
  </mergeCells>
  <pageMargins left="0.74803149606299213" right="0.35433070866141736" top="0.55118110236220474" bottom="0.98425196850393704" header="0.51181102362204722" footer="0.51181102362204722"/>
  <pageSetup paperSize="9"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B136"/>
  <sheetViews>
    <sheetView view="pageBreakPreview" topLeftCell="A90" zoomScaleNormal="100" zoomScaleSheetLayoutView="100" workbookViewId="0">
      <selection activeCell="G99" sqref="G99"/>
    </sheetView>
  </sheetViews>
  <sheetFormatPr defaultRowHeight="14.25"/>
  <cols>
    <col min="1" max="1" width="6.28515625" style="25" customWidth="1"/>
    <col min="2" max="2" width="25.5703125" style="25" customWidth="1"/>
    <col min="3" max="3" width="8.140625" style="25" customWidth="1"/>
    <col min="4" max="4" width="7.42578125" style="25" customWidth="1"/>
    <col min="5" max="5" width="21.5703125" style="26" customWidth="1"/>
    <col min="6" max="6" width="28" style="25" customWidth="1"/>
    <col min="7" max="7" width="12.42578125" style="28" customWidth="1"/>
    <col min="8" max="11" width="9.140625" style="16" hidden="1" customWidth="1"/>
    <col min="12" max="12" width="11.85546875" style="16" customWidth="1"/>
    <col min="13" max="16384" width="9.140625" style="16"/>
  </cols>
  <sheetData>
    <row r="1" spans="1:7" s="86" customFormat="1" ht="15.75" hidden="1" customHeight="1">
      <c r="A1" s="14"/>
      <c r="B1" s="14"/>
      <c r="C1" s="14"/>
      <c r="D1" s="14"/>
      <c r="E1" s="15"/>
      <c r="F1" s="14" t="s">
        <v>662</v>
      </c>
      <c r="G1" s="14"/>
    </row>
    <row r="2" spans="1:7" s="86" customFormat="1" ht="5.25" hidden="1" customHeight="1">
      <c r="A2" s="14"/>
      <c r="B2" s="14"/>
      <c r="C2" s="14"/>
      <c r="D2" s="14"/>
      <c r="E2" s="15"/>
      <c r="F2" s="14"/>
      <c r="G2" s="14"/>
    </row>
    <row r="3" spans="1:7" s="86" customFormat="1" ht="15.75" customHeight="1">
      <c r="A3" s="17"/>
      <c r="B3" s="19"/>
      <c r="C3" s="19"/>
      <c r="D3" s="19"/>
      <c r="E3" s="18" t="s">
        <v>732</v>
      </c>
      <c r="F3" s="17"/>
      <c r="G3" s="17"/>
    </row>
    <row r="4" spans="1:7" s="86" customFormat="1" ht="15.75" customHeight="1">
      <c r="A4" s="19"/>
      <c r="B4" s="19"/>
      <c r="C4" s="19"/>
      <c r="D4" s="19"/>
      <c r="E4" s="20" t="s">
        <v>420</v>
      </c>
      <c r="F4" s="19"/>
      <c r="G4" s="19"/>
    </row>
    <row r="5" spans="1:7" s="86" customFormat="1" ht="7.5" customHeight="1">
      <c r="A5" s="19"/>
      <c r="B5" s="21"/>
      <c r="C5" s="21"/>
      <c r="D5" s="21"/>
      <c r="E5" s="22"/>
      <c r="F5" s="21"/>
      <c r="G5" s="23"/>
    </row>
    <row r="6" spans="1:7" s="53" customFormat="1" ht="21" customHeight="1">
      <c r="A6" s="55" t="s">
        <v>18</v>
      </c>
      <c r="B6" s="55"/>
      <c r="C6" s="55"/>
      <c r="D6" s="55"/>
      <c r="E6" s="20"/>
      <c r="F6" s="1064"/>
      <c r="G6" s="1064"/>
    </row>
    <row r="7" spans="1:7" s="53" customFormat="1" ht="15" customHeight="1">
      <c r="A7" s="56"/>
      <c r="B7" s="56"/>
      <c r="C7" s="56"/>
      <c r="D7" s="56"/>
      <c r="E7" s="56"/>
      <c r="F7" s="47" t="s">
        <v>26</v>
      </c>
      <c r="G7" s="47"/>
    </row>
    <row r="8" spans="1:7" s="53" customFormat="1" ht="8.25" customHeight="1">
      <c r="A8" s="57"/>
      <c r="B8" s="56"/>
      <c r="C8" s="56"/>
      <c r="D8" s="56"/>
      <c r="E8" s="56"/>
      <c r="F8" s="56"/>
      <c r="G8" s="58"/>
    </row>
    <row r="9" spans="1:7" s="53" customFormat="1" ht="15.75">
      <c r="A9" s="56" t="s">
        <v>105</v>
      </c>
      <c r="B9" s="56"/>
      <c r="C9" s="56"/>
      <c r="D9" s="56"/>
      <c r="E9" s="56"/>
      <c r="F9" s="47"/>
      <c r="G9" s="47"/>
    </row>
    <row r="10" spans="1:7" s="53" customFormat="1" ht="8.25" customHeight="1">
      <c r="A10" s="52"/>
      <c r="B10" s="56"/>
      <c r="C10" s="56"/>
      <c r="D10" s="56"/>
      <c r="E10" s="56"/>
      <c r="F10" s="56"/>
      <c r="G10" s="58"/>
    </row>
    <row r="11" spans="1:7" s="53" customFormat="1" ht="15.75">
      <c r="A11" s="56" t="s">
        <v>106</v>
      </c>
      <c r="B11" s="56"/>
      <c r="C11" s="56"/>
      <c r="D11" s="56"/>
      <c r="E11" s="56"/>
      <c r="F11" s="47" t="s">
        <v>24</v>
      </c>
      <c r="G11" s="47"/>
    </row>
    <row r="12" spans="1:7" s="86" customFormat="1" ht="7.5" customHeight="1">
      <c r="A12" s="24"/>
      <c r="B12" s="25"/>
      <c r="C12" s="25"/>
      <c r="D12" s="25"/>
      <c r="E12" s="26"/>
      <c r="F12" s="25"/>
      <c r="G12" s="28"/>
    </row>
    <row r="13" spans="1:7" s="86" customFormat="1" ht="50.25" customHeight="1">
      <c r="A13" s="29" t="s">
        <v>23</v>
      </c>
      <c r="B13" s="30" t="s">
        <v>71</v>
      </c>
      <c r="C13" s="30" t="s">
        <v>140</v>
      </c>
      <c r="D13" s="30" t="s">
        <v>421</v>
      </c>
      <c r="E13" s="48" t="s">
        <v>228</v>
      </c>
      <c r="F13" s="32" t="s">
        <v>21</v>
      </c>
      <c r="G13" s="33" t="s">
        <v>22</v>
      </c>
    </row>
    <row r="14" spans="1:7" s="13" customFormat="1" ht="15" customHeight="1">
      <c r="A14" s="34">
        <v>1</v>
      </c>
      <c r="B14" s="35">
        <v>2</v>
      </c>
      <c r="C14" s="35">
        <v>3</v>
      </c>
      <c r="D14" s="35">
        <v>4</v>
      </c>
      <c r="E14" s="35">
        <v>5</v>
      </c>
      <c r="F14" s="36">
        <v>6</v>
      </c>
      <c r="G14" s="37">
        <v>7</v>
      </c>
    </row>
    <row r="15" spans="1:7" s="13" customFormat="1" ht="15" customHeight="1">
      <c r="A15" s="1194">
        <v>1</v>
      </c>
      <c r="B15" s="194" t="s">
        <v>815</v>
      </c>
      <c r="C15" s="1194" t="s">
        <v>579</v>
      </c>
      <c r="D15" s="1194">
        <v>1</v>
      </c>
      <c r="E15" s="248" t="s">
        <v>148</v>
      </c>
      <c r="F15" s="194" t="s">
        <v>867</v>
      </c>
      <c r="G15" s="203">
        <f>374.17*0.4*1.15*1.43*0*0.909</f>
        <v>0</v>
      </c>
    </row>
    <row r="16" spans="1:7" s="13" customFormat="1" ht="15" customHeight="1">
      <c r="A16" s="1195"/>
      <c r="B16" s="235" t="s">
        <v>816</v>
      </c>
      <c r="C16" s="1195"/>
      <c r="D16" s="1195"/>
      <c r="E16" s="245" t="s">
        <v>149</v>
      </c>
      <c r="F16" s="12" t="s">
        <v>150</v>
      </c>
      <c r="G16" s="90"/>
    </row>
    <row r="17" spans="1:12" s="13" customFormat="1" ht="15" customHeight="1">
      <c r="A17" s="1195"/>
      <c r="B17" s="236"/>
      <c r="C17" s="1195"/>
      <c r="D17" s="1195"/>
      <c r="E17" s="245" t="s">
        <v>151</v>
      </c>
      <c r="F17" s="224"/>
      <c r="G17" s="90"/>
    </row>
    <row r="18" spans="1:12" s="13" customFormat="1" ht="15" customHeight="1">
      <c r="A18" s="1195"/>
      <c r="B18" s="236"/>
      <c r="C18" s="1195"/>
      <c r="D18" s="1195"/>
      <c r="E18" s="245" t="s">
        <v>774</v>
      </c>
      <c r="F18" s="224"/>
      <c r="G18" s="90"/>
    </row>
    <row r="19" spans="1:12" s="13" customFormat="1" ht="15" customHeight="1">
      <c r="A19" s="1195"/>
      <c r="B19" s="247"/>
      <c r="C19" s="1195"/>
      <c r="D19" s="1195"/>
      <c r="E19" s="245" t="s">
        <v>27</v>
      </c>
      <c r="F19" s="224"/>
      <c r="G19" s="90"/>
    </row>
    <row r="20" spans="1:12" s="13" customFormat="1" ht="15" customHeight="1">
      <c r="A20" s="1195"/>
      <c r="B20" s="247"/>
      <c r="C20" s="1195"/>
      <c r="D20" s="1195"/>
      <c r="E20" s="249" t="s">
        <v>152</v>
      </c>
      <c r="F20" s="224"/>
      <c r="G20" s="90"/>
    </row>
    <row r="21" spans="1:12" s="13" customFormat="1" ht="15" customHeight="1">
      <c r="A21" s="1195"/>
      <c r="B21" s="247"/>
      <c r="C21" s="1195"/>
      <c r="D21" s="1195"/>
      <c r="E21" s="245" t="s">
        <v>153</v>
      </c>
      <c r="F21" s="224"/>
      <c r="G21" s="90"/>
    </row>
    <row r="22" spans="1:12" s="13" customFormat="1" ht="15" customHeight="1">
      <c r="A22" s="1195"/>
      <c r="B22" s="247"/>
      <c r="C22" s="1195"/>
      <c r="D22" s="1195"/>
      <c r="E22" s="245" t="s">
        <v>31</v>
      </c>
      <c r="F22" s="224"/>
      <c r="G22" s="90"/>
    </row>
    <row r="23" spans="1:12" s="13" customFormat="1" ht="15" customHeight="1">
      <c r="A23" s="1195"/>
      <c r="B23" s="247"/>
      <c r="C23" s="1195"/>
      <c r="D23" s="1195"/>
      <c r="E23" s="94" t="s">
        <v>154</v>
      </c>
      <c r="F23" s="224"/>
      <c r="G23" s="90"/>
    </row>
    <row r="24" spans="1:12" s="13" customFormat="1" ht="15" customHeight="1">
      <c r="A24" s="1195"/>
      <c r="B24" s="247"/>
      <c r="C24" s="1195"/>
      <c r="D24" s="1195"/>
      <c r="E24" s="94" t="s">
        <v>155</v>
      </c>
      <c r="F24" s="224"/>
      <c r="G24" s="90"/>
    </row>
    <row r="25" spans="1:12" s="13" customFormat="1" ht="15" customHeight="1">
      <c r="A25" s="1195"/>
      <c r="B25" s="247"/>
      <c r="C25" s="1195"/>
      <c r="D25" s="1195"/>
      <c r="E25" s="245" t="s">
        <v>25</v>
      </c>
      <c r="F25" s="224"/>
      <c r="G25" s="90"/>
    </row>
    <row r="26" spans="1:12" s="13" customFormat="1" ht="15" customHeight="1">
      <c r="A26" s="1195"/>
      <c r="B26" s="247"/>
      <c r="C26" s="1195"/>
      <c r="D26" s="1195"/>
      <c r="E26" s="245" t="s">
        <v>3</v>
      </c>
      <c r="F26" s="224"/>
      <c r="G26" s="90"/>
    </row>
    <row r="27" spans="1:12" s="13" customFormat="1" ht="15" customHeight="1">
      <c r="A27" s="1195"/>
      <c r="B27" s="247"/>
      <c r="C27" s="1195"/>
      <c r="D27" s="1195"/>
      <c r="E27" s="94" t="s">
        <v>847</v>
      </c>
      <c r="F27" s="224"/>
      <c r="G27" s="90"/>
    </row>
    <row r="28" spans="1:12" s="13" customFormat="1" ht="15" customHeight="1">
      <c r="A28" s="1195"/>
      <c r="B28" s="247"/>
      <c r="C28" s="1195"/>
      <c r="D28" s="1195"/>
      <c r="E28" s="245" t="s">
        <v>489</v>
      </c>
      <c r="F28" s="224"/>
      <c r="G28" s="90"/>
    </row>
    <row r="29" spans="1:12" s="41" customFormat="1" ht="18" customHeight="1">
      <c r="A29" s="682" t="s">
        <v>5</v>
      </c>
      <c r="B29" s="887" t="s">
        <v>548</v>
      </c>
      <c r="C29" s="683" t="s">
        <v>147</v>
      </c>
      <c r="D29" s="683">
        <v>1</v>
      </c>
      <c r="E29" s="623" t="s">
        <v>148</v>
      </c>
      <c r="F29" s="887" t="s">
        <v>868</v>
      </c>
      <c r="G29" s="684">
        <f>134.13*0.4*1.15*1.43*0*0.5</f>
        <v>0</v>
      </c>
      <c r="L29" s="685"/>
    </row>
    <row r="30" spans="1:12" s="41" customFormat="1" ht="18" customHeight="1">
      <c r="A30" s="686"/>
      <c r="B30" s="888" t="s">
        <v>549</v>
      </c>
      <c r="C30" s="687"/>
      <c r="D30" s="687"/>
      <c r="E30" s="95" t="s">
        <v>156</v>
      </c>
      <c r="F30" s="888" t="s">
        <v>795</v>
      </c>
      <c r="G30" s="688"/>
    </row>
    <row r="31" spans="1:12" s="41" customFormat="1" ht="18" customHeight="1">
      <c r="A31" s="686"/>
      <c r="B31" s="888" t="s">
        <v>550</v>
      </c>
      <c r="C31" s="687"/>
      <c r="D31" s="687"/>
      <c r="E31" s="95" t="s">
        <v>490</v>
      </c>
      <c r="F31" s="624"/>
      <c r="G31" s="688"/>
    </row>
    <row r="32" spans="1:12" s="41" customFormat="1" ht="69" customHeight="1">
      <c r="A32" s="686"/>
      <c r="B32" s="888"/>
      <c r="C32" s="687"/>
      <c r="D32" s="687"/>
      <c r="E32" s="95" t="s">
        <v>794</v>
      </c>
      <c r="F32" s="624"/>
      <c r="G32" s="688"/>
    </row>
    <row r="33" spans="1:28" s="41" customFormat="1" ht="14.25" customHeight="1">
      <c r="A33" s="1205" t="s">
        <v>6</v>
      </c>
      <c r="B33" s="194" t="s">
        <v>705</v>
      </c>
      <c r="C33" s="1205" t="s">
        <v>147</v>
      </c>
      <c r="D33" s="1205">
        <v>1</v>
      </c>
      <c r="E33" s="616" t="s">
        <v>148</v>
      </c>
      <c r="F33" s="194" t="s">
        <v>707</v>
      </c>
      <c r="G33" s="954">
        <f>(24.214*1)*0.4*1.15*1.43*0</f>
        <v>0</v>
      </c>
    </row>
    <row r="34" spans="1:28" s="41" customFormat="1" ht="14.25" customHeight="1">
      <c r="A34" s="1206"/>
      <c r="B34" s="8"/>
      <c r="C34" s="1206"/>
      <c r="D34" s="1206"/>
      <c r="E34" s="9" t="s">
        <v>156</v>
      </c>
      <c r="F34" s="8" t="s">
        <v>855</v>
      </c>
      <c r="G34" s="955"/>
    </row>
    <row r="35" spans="1:28" s="41" customFormat="1" ht="14.25" customHeight="1">
      <c r="A35" s="1206"/>
      <c r="B35" s="236"/>
      <c r="C35" s="1206"/>
      <c r="D35" s="1206"/>
      <c r="E35" s="9" t="s">
        <v>706</v>
      </c>
      <c r="F35" s="245"/>
      <c r="G35" s="862"/>
    </row>
    <row r="36" spans="1:28" s="41" customFormat="1" ht="14.25" customHeight="1">
      <c r="A36" s="1206"/>
      <c r="B36" s="247"/>
      <c r="C36" s="1206"/>
      <c r="D36" s="1206"/>
      <c r="E36" s="94"/>
      <c r="F36" s="94"/>
      <c r="G36" s="574"/>
    </row>
    <row r="37" spans="1:28" s="41" customFormat="1" ht="19.5" customHeight="1">
      <c r="A37" s="1199" t="s">
        <v>7</v>
      </c>
      <c r="B37" s="238" t="s">
        <v>157</v>
      </c>
      <c r="C37" s="1202" t="s">
        <v>578</v>
      </c>
      <c r="D37" s="1202">
        <v>0.35</v>
      </c>
      <c r="E37" s="616" t="s">
        <v>148</v>
      </c>
      <c r="F37" s="617" t="s">
        <v>817</v>
      </c>
      <c r="G37" s="203">
        <f>(33.816+9.123*0.35)*0.4*1.15*1.43*0*1.1*0.96</f>
        <v>0</v>
      </c>
    </row>
    <row r="38" spans="1:28" s="41" customFormat="1" ht="19.5" customHeight="1">
      <c r="A38" s="1200"/>
      <c r="B38" s="125" t="s">
        <v>158</v>
      </c>
      <c r="C38" s="1203"/>
      <c r="D38" s="1203"/>
      <c r="E38" s="249" t="s">
        <v>156</v>
      </c>
      <c r="F38" s="12" t="s">
        <v>856</v>
      </c>
      <c r="G38" s="562"/>
    </row>
    <row r="39" spans="1:28" s="41" customFormat="1" ht="19.5" customHeight="1">
      <c r="A39" s="1200"/>
      <c r="B39" s="125" t="s">
        <v>571</v>
      </c>
      <c r="C39" s="1203"/>
      <c r="D39" s="1203"/>
      <c r="E39" s="249" t="s">
        <v>159</v>
      </c>
      <c r="F39" s="12"/>
      <c r="G39" s="562"/>
    </row>
    <row r="40" spans="1:28" s="41" customFormat="1" ht="25.5" customHeight="1">
      <c r="A40" s="1200"/>
      <c r="B40" s="125" t="s">
        <v>708</v>
      </c>
      <c r="C40" s="1203"/>
      <c r="D40" s="1203"/>
      <c r="E40" s="120" t="s">
        <v>709</v>
      </c>
      <c r="F40" s="12"/>
      <c r="G40" s="562"/>
    </row>
    <row r="41" spans="1:28" s="41" customFormat="1" ht="19.5" customHeight="1">
      <c r="A41" s="1200"/>
      <c r="B41" s="125"/>
      <c r="C41" s="1203"/>
      <c r="D41" s="1203"/>
      <c r="E41" s="613" t="s">
        <v>160</v>
      </c>
      <c r="F41" s="1001"/>
      <c r="G41" s="562"/>
    </row>
    <row r="42" spans="1:28" s="41" customFormat="1" ht="19.5" customHeight="1">
      <c r="A42" s="1199" t="s">
        <v>8</v>
      </c>
      <c r="B42" s="238" t="s">
        <v>157</v>
      </c>
      <c r="C42" s="1202" t="s">
        <v>578</v>
      </c>
      <c r="D42" s="1202">
        <v>6.2</v>
      </c>
      <c r="E42" s="616" t="s">
        <v>148</v>
      </c>
      <c r="F42" s="617" t="s">
        <v>818</v>
      </c>
      <c r="G42" s="203">
        <f>(45.876+6.711*6.2)*0.4*1.15*1.43*0*1.1*0.96</f>
        <v>0</v>
      </c>
    </row>
    <row r="43" spans="1:28" s="41" customFormat="1" ht="19.5" customHeight="1">
      <c r="A43" s="1200"/>
      <c r="B43" s="125" t="s">
        <v>158</v>
      </c>
      <c r="C43" s="1203"/>
      <c r="D43" s="1203"/>
      <c r="E43" s="249" t="s">
        <v>156</v>
      </c>
      <c r="F43" s="12" t="s">
        <v>869</v>
      </c>
      <c r="G43" s="562"/>
    </row>
    <row r="44" spans="1:28" s="41" customFormat="1" ht="19.5" customHeight="1">
      <c r="A44" s="1200"/>
      <c r="B44" s="125" t="s">
        <v>571</v>
      </c>
      <c r="C44" s="1203"/>
      <c r="D44" s="1203"/>
      <c r="E44" s="249" t="s">
        <v>159</v>
      </c>
      <c r="F44" s="12"/>
      <c r="G44" s="562"/>
    </row>
    <row r="45" spans="1:28" s="41" customFormat="1" ht="25.5" customHeight="1">
      <c r="A45" s="1200"/>
      <c r="B45" s="125" t="s">
        <v>708</v>
      </c>
      <c r="C45" s="1203"/>
      <c r="D45" s="1203"/>
      <c r="E45" s="120" t="s">
        <v>709</v>
      </c>
      <c r="F45" s="12"/>
      <c r="G45" s="562"/>
    </row>
    <row r="46" spans="1:28" s="41" customFormat="1" ht="19.5" customHeight="1">
      <c r="A46" s="1200"/>
      <c r="B46" s="125"/>
      <c r="C46" s="1203"/>
      <c r="D46" s="1203"/>
      <c r="E46" s="613" t="s">
        <v>160</v>
      </c>
      <c r="F46" s="1004"/>
      <c r="G46" s="562"/>
    </row>
    <row r="47" spans="1:28" s="41" customFormat="1" ht="14.25" customHeight="1">
      <c r="A47" s="1199" t="s">
        <v>65</v>
      </c>
      <c r="B47" s="691" t="s">
        <v>739</v>
      </c>
      <c r="C47" s="1202" t="s">
        <v>740</v>
      </c>
      <c r="D47" s="1202">
        <v>0.7</v>
      </c>
      <c r="E47" s="616" t="s">
        <v>148</v>
      </c>
      <c r="F47" s="617" t="s">
        <v>819</v>
      </c>
      <c r="G47" s="572">
        <f>(25.808+13.814*0.7)*0.4*1.15*1.43*0*0.962</f>
        <v>0</v>
      </c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</row>
    <row r="48" spans="1:28" s="41" customFormat="1" ht="14.25" customHeight="1">
      <c r="A48" s="1200"/>
      <c r="B48" s="614" t="s">
        <v>741</v>
      </c>
      <c r="C48" s="1203"/>
      <c r="D48" s="1203"/>
      <c r="E48" s="249" t="s">
        <v>156</v>
      </c>
      <c r="F48" s="12" t="s">
        <v>870</v>
      </c>
      <c r="G48" s="204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</row>
    <row r="49" spans="1:28" s="41" customFormat="1" ht="14.25" customHeight="1">
      <c r="A49" s="1200"/>
      <c r="B49" s="226"/>
      <c r="C49" s="1203"/>
      <c r="D49" s="1203"/>
      <c r="E49" s="245" t="s">
        <v>742</v>
      </c>
      <c r="F49" s="12"/>
      <c r="G49" s="204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</row>
    <row r="50" spans="1:28" s="41" customFormat="1" ht="14.25" customHeight="1">
      <c r="A50" s="1200"/>
      <c r="B50" s="226"/>
      <c r="C50" s="1203"/>
      <c r="D50" s="1203"/>
      <c r="E50" s="245" t="s">
        <v>743</v>
      </c>
      <c r="F50" s="12"/>
      <c r="G50" s="204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</row>
    <row r="51" spans="1:28" s="41" customFormat="1" ht="14.25" customHeight="1">
      <c r="A51" s="1200"/>
      <c r="B51" s="93"/>
      <c r="C51" s="1203"/>
      <c r="D51" s="1203"/>
      <c r="E51" s="245" t="s">
        <v>744</v>
      </c>
      <c r="F51" s="12"/>
      <c r="G51" s="204"/>
      <c r="H51" s="998"/>
      <c r="I51" s="998"/>
      <c r="J51" s="998"/>
      <c r="K51" s="998"/>
      <c r="L51" s="998"/>
      <c r="M51" s="998"/>
      <c r="N51" s="998"/>
      <c r="O51" s="998"/>
      <c r="P51" s="998"/>
      <c r="Q51" s="998"/>
      <c r="R51" s="998"/>
      <c r="S51" s="998"/>
      <c r="T51" s="998"/>
      <c r="U51" s="998"/>
      <c r="V51" s="998"/>
      <c r="W51" s="998"/>
      <c r="X51" s="998"/>
      <c r="Y51" s="998"/>
      <c r="Z51" s="998"/>
      <c r="AA51" s="998"/>
      <c r="AB51" s="998"/>
    </row>
    <row r="52" spans="1:28" s="41" customFormat="1" ht="14.25" customHeight="1">
      <c r="A52" s="1201"/>
      <c r="B52" s="254"/>
      <c r="C52" s="1204"/>
      <c r="D52" s="1204"/>
      <c r="E52" s="999" t="s">
        <v>745</v>
      </c>
      <c r="F52" s="615"/>
      <c r="G52" s="66"/>
      <c r="H52" s="998"/>
      <c r="I52" s="998"/>
      <c r="J52" s="998"/>
      <c r="K52" s="998"/>
      <c r="L52" s="998"/>
      <c r="M52" s="998"/>
      <c r="N52" s="998"/>
      <c r="O52" s="998"/>
      <c r="P52" s="998"/>
      <c r="Q52" s="998"/>
      <c r="R52" s="998"/>
      <c r="S52" s="998"/>
      <c r="T52" s="998"/>
      <c r="U52" s="998"/>
      <c r="V52" s="998"/>
      <c r="W52" s="998"/>
      <c r="X52" s="998"/>
      <c r="Y52" s="998"/>
      <c r="Z52" s="998"/>
      <c r="AA52" s="998"/>
      <c r="AB52" s="998"/>
    </row>
    <row r="53" spans="1:28" s="13" customFormat="1" ht="15" customHeight="1">
      <c r="A53" s="885" t="s">
        <v>93</v>
      </c>
      <c r="B53" s="194" t="s">
        <v>580</v>
      </c>
      <c r="C53" s="1207" t="s">
        <v>142</v>
      </c>
      <c r="D53" s="1207">
        <v>0.7</v>
      </c>
      <c r="E53" s="95" t="s">
        <v>143</v>
      </c>
      <c r="F53" s="888" t="s">
        <v>871</v>
      </c>
      <c r="G53" s="880">
        <f>28.77*0.4*0</f>
        <v>0</v>
      </c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</row>
    <row r="54" spans="1:28" s="13" customFormat="1" ht="15" customHeight="1">
      <c r="A54" s="885"/>
      <c r="B54" s="54"/>
      <c r="C54" s="1207"/>
      <c r="D54" s="1207"/>
      <c r="E54" s="95" t="s">
        <v>144</v>
      </c>
      <c r="F54" s="93"/>
      <c r="G54" s="563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</row>
    <row r="55" spans="1:28" s="13" customFormat="1" ht="15" customHeight="1">
      <c r="A55" s="885"/>
      <c r="B55" s="54"/>
      <c r="C55" s="1207"/>
      <c r="D55" s="1207"/>
      <c r="E55" s="9" t="s">
        <v>145</v>
      </c>
      <c r="F55" s="244"/>
      <c r="G55" s="562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</row>
    <row r="56" spans="1:28" s="86" customFormat="1" ht="13.5" customHeight="1">
      <c r="A56" s="885"/>
      <c r="B56" s="613"/>
      <c r="C56" s="1207"/>
      <c r="D56" s="1207"/>
      <c r="E56" s="9" t="s">
        <v>146</v>
      </c>
      <c r="F56" s="1030" t="s">
        <v>831</v>
      </c>
      <c r="G56" s="562"/>
      <c r="H56" s="13"/>
      <c r="I56" s="13"/>
      <c r="J56" s="13"/>
      <c r="K56" s="13"/>
      <c r="L56" s="244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</row>
    <row r="57" spans="1:28" s="86" customFormat="1" ht="14.25" customHeight="1">
      <c r="A57" s="886"/>
      <c r="B57" s="613"/>
      <c r="C57" s="1208"/>
      <c r="D57" s="1208"/>
      <c r="E57" s="207" t="s">
        <v>858</v>
      </c>
      <c r="F57" s="315"/>
      <c r="G57" s="561"/>
      <c r="H57" s="13"/>
      <c r="I57" s="13"/>
      <c r="J57" s="13"/>
      <c r="K57" s="13"/>
      <c r="L57" s="244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</row>
    <row r="58" spans="1:28" s="13" customFormat="1" ht="15" customHeight="1">
      <c r="A58" s="885" t="s">
        <v>95</v>
      </c>
      <c r="B58" s="194" t="s">
        <v>581</v>
      </c>
      <c r="C58" s="1207" t="s">
        <v>142</v>
      </c>
      <c r="D58" s="1207">
        <v>0.7</v>
      </c>
      <c r="E58" s="95" t="s">
        <v>143</v>
      </c>
      <c r="F58" s="888" t="s">
        <v>872</v>
      </c>
      <c r="G58" s="572">
        <f>28.77*0.4*0*0.35</f>
        <v>0</v>
      </c>
      <c r="H58" s="41"/>
      <c r="I58" s="41"/>
      <c r="J58" s="41"/>
      <c r="K58" s="41"/>
      <c r="L58" s="16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</row>
    <row r="59" spans="1:28" s="13" customFormat="1" ht="15" customHeight="1">
      <c r="A59" s="885"/>
      <c r="B59" s="54"/>
      <c r="C59" s="1207"/>
      <c r="D59" s="1207"/>
      <c r="E59" s="95" t="s">
        <v>144</v>
      </c>
      <c r="F59" s="93"/>
      <c r="G59" s="563"/>
      <c r="H59" s="41"/>
      <c r="I59" s="41"/>
      <c r="J59" s="41"/>
      <c r="K59" s="41"/>
      <c r="L59" s="16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</row>
    <row r="60" spans="1:28" s="13" customFormat="1" ht="15" customHeight="1">
      <c r="A60" s="885"/>
      <c r="B60" s="54"/>
      <c r="C60" s="1207"/>
      <c r="D60" s="1207"/>
      <c r="E60" s="9" t="s">
        <v>145</v>
      </c>
      <c r="F60" s="244"/>
      <c r="G60" s="562"/>
      <c r="H60" s="41"/>
      <c r="I60" s="41"/>
      <c r="J60" s="41"/>
      <c r="K60" s="41"/>
      <c r="L60" s="16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</row>
    <row r="61" spans="1:28" s="86" customFormat="1" ht="13.5" customHeight="1">
      <c r="A61" s="885"/>
      <c r="B61" s="613"/>
      <c r="C61" s="1207"/>
      <c r="D61" s="1207"/>
      <c r="E61" s="9" t="s">
        <v>146</v>
      </c>
      <c r="F61" s="244"/>
      <c r="G61" s="562"/>
      <c r="H61" s="13"/>
      <c r="I61" s="13"/>
      <c r="J61" s="13"/>
      <c r="K61" s="13"/>
      <c r="L61" s="695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</row>
    <row r="62" spans="1:28" s="86" customFormat="1" ht="33.75">
      <c r="A62" s="924"/>
      <c r="B62" s="613"/>
      <c r="C62" s="1207"/>
      <c r="D62" s="1207"/>
      <c r="E62" s="956" t="s">
        <v>775</v>
      </c>
      <c r="F62" s="244"/>
      <c r="G62" s="562"/>
      <c r="H62" s="13"/>
      <c r="I62" s="13"/>
      <c r="J62" s="13"/>
      <c r="K62" s="13"/>
      <c r="L62" s="695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</row>
    <row r="63" spans="1:28" s="86" customFormat="1" ht="14.25" customHeight="1">
      <c r="A63" s="886"/>
      <c r="B63" s="957"/>
      <c r="C63" s="1208"/>
      <c r="D63" s="1208"/>
      <c r="E63" s="207" t="s">
        <v>858</v>
      </c>
      <c r="F63" s="315"/>
      <c r="G63" s="561"/>
      <c r="H63" s="13"/>
      <c r="I63" s="13"/>
      <c r="J63" s="13"/>
      <c r="K63" s="13"/>
      <c r="L63" s="695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</row>
    <row r="64" spans="1:28" s="914" customFormat="1" ht="16.5" customHeight="1">
      <c r="A64" s="944" t="s">
        <v>258</v>
      </c>
      <c r="B64" s="194" t="s">
        <v>510</v>
      </c>
      <c r="C64" s="1202" t="s">
        <v>574</v>
      </c>
      <c r="D64" s="1211">
        <v>2.76</v>
      </c>
      <c r="E64" s="638" t="s">
        <v>1</v>
      </c>
      <c r="F64" s="963" t="s">
        <v>552</v>
      </c>
      <c r="G64" s="964">
        <f>(58.42+58.42*2.76)*0.4*1.15*1.43*0*0.61</f>
        <v>0</v>
      </c>
    </row>
    <row r="65" spans="1:7" s="41" customFormat="1" ht="14.25" customHeight="1">
      <c r="A65" s="945"/>
      <c r="B65" s="8" t="s">
        <v>511</v>
      </c>
      <c r="C65" s="1203"/>
      <c r="D65" s="1212"/>
      <c r="E65" s="94" t="s">
        <v>174</v>
      </c>
      <c r="F65" s="961" t="s">
        <v>873</v>
      </c>
      <c r="G65" s="656"/>
    </row>
    <row r="66" spans="1:7" s="41" customFormat="1" ht="14.25" customHeight="1">
      <c r="A66" s="945"/>
      <c r="B66" s="8" t="s">
        <v>711</v>
      </c>
      <c r="C66" s="1203"/>
      <c r="D66" s="1212"/>
      <c r="E66" s="94" t="s">
        <v>487</v>
      </c>
      <c r="F66" s="961"/>
      <c r="G66" s="929"/>
    </row>
    <row r="67" spans="1:7" s="41" customFormat="1" ht="14.25" customHeight="1">
      <c r="A67" s="945"/>
      <c r="B67" s="946" t="s">
        <v>512</v>
      </c>
      <c r="C67" s="1203"/>
      <c r="D67" s="1212"/>
      <c r="E67" s="94" t="s">
        <v>722</v>
      </c>
      <c r="F67" s="961"/>
      <c r="G67" s="929"/>
    </row>
    <row r="68" spans="1:7" s="41" customFormat="1" ht="28.5" customHeight="1">
      <c r="A68" s="960"/>
      <c r="B68" s="946" t="s">
        <v>551</v>
      </c>
      <c r="C68" s="1209"/>
      <c r="D68" s="1212"/>
      <c r="E68" s="94" t="s">
        <v>572</v>
      </c>
      <c r="F68" s="961"/>
      <c r="G68" s="929"/>
    </row>
    <row r="69" spans="1:7" s="41" customFormat="1" ht="15" customHeight="1">
      <c r="A69" s="960"/>
      <c r="B69" s="946"/>
      <c r="C69" s="1209"/>
      <c r="D69" s="1212"/>
      <c r="E69" s="94" t="s">
        <v>721</v>
      </c>
      <c r="F69" s="961"/>
      <c r="G69" s="929"/>
    </row>
    <row r="70" spans="1:7" s="41" customFormat="1" ht="22.5" customHeight="1">
      <c r="A70" s="960"/>
      <c r="B70" s="946"/>
      <c r="C70" s="1209"/>
      <c r="D70" s="1212"/>
      <c r="E70" s="94" t="s">
        <v>720</v>
      </c>
      <c r="F70" s="961"/>
      <c r="G70" s="929"/>
    </row>
    <row r="71" spans="1:7" s="41" customFormat="1" ht="24" customHeight="1">
      <c r="A71" s="965"/>
      <c r="B71" s="947"/>
      <c r="C71" s="1210"/>
      <c r="D71" s="1213"/>
      <c r="E71" s="118" t="s">
        <v>713</v>
      </c>
      <c r="F71" s="962"/>
      <c r="G71" s="930"/>
    </row>
    <row r="72" spans="1:7" s="13" customFormat="1" ht="15" customHeight="1">
      <c r="A72" s="913" t="s">
        <v>259</v>
      </c>
      <c r="B72" s="888" t="s">
        <v>710</v>
      </c>
      <c r="C72" s="1203" t="s">
        <v>574</v>
      </c>
      <c r="D72" s="1203">
        <v>0.15</v>
      </c>
      <c r="E72" s="95" t="s">
        <v>1</v>
      </c>
      <c r="F72" s="93" t="s">
        <v>776</v>
      </c>
      <c r="G72" s="611">
        <f>175.26*0.4*1.15*1.43*0*0.84</f>
        <v>0</v>
      </c>
    </row>
    <row r="73" spans="1:7" s="13" customFormat="1" ht="15" customHeight="1">
      <c r="A73" s="885"/>
      <c r="B73" s="888" t="s">
        <v>820</v>
      </c>
      <c r="C73" s="1203"/>
      <c r="D73" s="1203"/>
      <c r="E73" s="95" t="s">
        <v>174</v>
      </c>
      <c r="F73" s="93" t="s">
        <v>874</v>
      </c>
      <c r="G73" s="564"/>
    </row>
    <row r="74" spans="1:7" s="13" customFormat="1" ht="15" customHeight="1">
      <c r="A74" s="885"/>
      <c r="B74" s="888"/>
      <c r="C74" s="1203"/>
      <c r="D74" s="1203"/>
      <c r="E74" s="95" t="s">
        <v>175</v>
      </c>
      <c r="F74" s="93"/>
      <c r="G74" s="563"/>
    </row>
    <row r="75" spans="1:7" s="13" customFormat="1" ht="15" customHeight="1">
      <c r="A75" s="885"/>
      <c r="B75" s="93"/>
      <c r="C75" s="1203"/>
      <c r="D75" s="1203"/>
      <c r="E75" s="959" t="s">
        <v>777</v>
      </c>
      <c r="F75" s="93"/>
      <c r="G75" s="563"/>
    </row>
    <row r="76" spans="1:7" s="13" customFormat="1" ht="15" customHeight="1">
      <c r="A76" s="885"/>
      <c r="B76" s="93"/>
      <c r="C76" s="1203"/>
      <c r="D76" s="1203"/>
      <c r="E76" s="95" t="s">
        <v>712</v>
      </c>
      <c r="F76" s="93"/>
      <c r="G76" s="563"/>
    </row>
    <row r="77" spans="1:7" s="13" customFormat="1" ht="15" customHeight="1">
      <c r="A77" s="924"/>
      <c r="B77" s="93"/>
      <c r="C77" s="1203"/>
      <c r="D77" s="1203"/>
      <c r="E77" s="95" t="s">
        <v>778</v>
      </c>
      <c r="F77" s="93"/>
      <c r="G77" s="563"/>
    </row>
    <row r="78" spans="1:7" s="13" customFormat="1" ht="15" customHeight="1">
      <c r="A78" s="924"/>
      <c r="B78" s="93"/>
      <c r="C78" s="1203"/>
      <c r="D78" s="1203"/>
      <c r="E78" s="95" t="s">
        <v>779</v>
      </c>
      <c r="F78" s="93"/>
      <c r="G78" s="563"/>
    </row>
    <row r="79" spans="1:7" s="13" customFormat="1" ht="15" customHeight="1">
      <c r="A79" s="924"/>
      <c r="B79" s="93"/>
      <c r="C79" s="1203"/>
      <c r="D79" s="1203"/>
      <c r="E79" s="95" t="s">
        <v>780</v>
      </c>
      <c r="F79" s="93"/>
      <c r="G79" s="563"/>
    </row>
    <row r="80" spans="1:7" s="13" customFormat="1" ht="22.5" customHeight="1">
      <c r="A80" s="924"/>
      <c r="B80" s="93"/>
      <c r="C80" s="1203"/>
      <c r="D80" s="1203"/>
      <c r="E80" s="95" t="s">
        <v>781</v>
      </c>
      <c r="F80" s="93"/>
      <c r="G80" s="563"/>
    </row>
    <row r="81" spans="1:7" s="13" customFormat="1" ht="22.5" customHeight="1">
      <c r="A81" s="924"/>
      <c r="B81" s="93"/>
      <c r="C81" s="1203"/>
      <c r="D81" s="1203"/>
      <c r="E81" s="95" t="s">
        <v>720</v>
      </c>
      <c r="F81" s="93"/>
      <c r="G81" s="563"/>
    </row>
    <row r="82" spans="1:7" s="13" customFormat="1" ht="15" customHeight="1">
      <c r="A82" s="924"/>
      <c r="B82" s="93"/>
      <c r="C82" s="1203"/>
      <c r="D82" s="1203"/>
      <c r="E82" s="95" t="s">
        <v>713</v>
      </c>
      <c r="F82" s="93"/>
      <c r="G82" s="563"/>
    </row>
    <row r="83" spans="1:7" s="41" customFormat="1" ht="17.25" customHeight="1">
      <c r="A83" s="1199" t="s">
        <v>588</v>
      </c>
      <c r="B83" s="661" t="s">
        <v>519</v>
      </c>
      <c r="C83" s="1202" t="s">
        <v>520</v>
      </c>
      <c r="D83" s="1202">
        <v>1</v>
      </c>
      <c r="E83" s="657" t="s">
        <v>521</v>
      </c>
      <c r="F83" s="617" t="s">
        <v>719</v>
      </c>
      <c r="G83" s="203">
        <f>2.304*0.4*1.15*1.2*1.43*0*0.33</f>
        <v>0</v>
      </c>
    </row>
    <row r="84" spans="1:7" s="41" customFormat="1" ht="17.25" customHeight="1">
      <c r="A84" s="1200"/>
      <c r="B84" s="11" t="s">
        <v>522</v>
      </c>
      <c r="C84" s="1203"/>
      <c r="D84" s="1203"/>
      <c r="E84" s="9" t="s">
        <v>523</v>
      </c>
      <c r="F84" s="12" t="s">
        <v>863</v>
      </c>
      <c r="G84" s="204"/>
    </row>
    <row r="85" spans="1:7" s="41" customFormat="1" ht="17.25" customHeight="1">
      <c r="A85" s="1200"/>
      <c r="B85" s="11" t="s">
        <v>714</v>
      </c>
      <c r="C85" s="1203"/>
      <c r="D85" s="1203"/>
      <c r="E85" s="9" t="s">
        <v>524</v>
      </c>
      <c r="F85" s="12"/>
      <c r="G85" s="204"/>
    </row>
    <row r="86" spans="1:7" s="41" customFormat="1" ht="17.25" customHeight="1">
      <c r="A86" s="1200"/>
      <c r="B86" s="11"/>
      <c r="C86" s="1203"/>
      <c r="D86" s="1203"/>
      <c r="E86" s="9" t="s">
        <v>525</v>
      </c>
      <c r="F86" s="12"/>
      <c r="G86" s="204"/>
    </row>
    <row r="87" spans="1:7" s="41" customFormat="1" ht="45">
      <c r="A87" s="1200"/>
      <c r="B87" s="11"/>
      <c r="C87" s="1203"/>
      <c r="D87" s="1203"/>
      <c r="E87" s="958" t="s">
        <v>715</v>
      </c>
      <c r="F87" s="12"/>
      <c r="G87" s="204"/>
    </row>
    <row r="88" spans="1:7" s="41" customFormat="1" ht="33.75">
      <c r="A88" s="1200"/>
      <c r="B88" s="11"/>
      <c r="C88" s="1203"/>
      <c r="D88" s="1203"/>
      <c r="E88" s="958" t="s">
        <v>716</v>
      </c>
      <c r="F88" s="12"/>
      <c r="G88" s="204"/>
    </row>
    <row r="89" spans="1:7" s="41" customFormat="1" ht="24" customHeight="1">
      <c r="A89" s="926"/>
      <c r="B89" s="696"/>
      <c r="C89" s="923"/>
      <c r="D89" s="697"/>
      <c r="E89" s="915" t="s">
        <v>717</v>
      </c>
      <c r="F89" s="698"/>
      <c r="G89" s="66"/>
    </row>
    <row r="90" spans="1:7" s="41" customFormat="1" ht="16.5" customHeight="1">
      <c r="A90" s="1200" t="s">
        <v>595</v>
      </c>
      <c r="B90" s="11" t="s">
        <v>527</v>
      </c>
      <c r="C90" s="1203" t="s">
        <v>520</v>
      </c>
      <c r="D90" s="1203">
        <v>1</v>
      </c>
      <c r="E90" s="9" t="s">
        <v>521</v>
      </c>
      <c r="F90" s="12" t="s">
        <v>875</v>
      </c>
      <c r="G90" s="204">
        <f>2.074*0.4*1.2*1.43*0*0.33</f>
        <v>0</v>
      </c>
    </row>
    <row r="91" spans="1:7" s="41" customFormat="1" ht="16.5" customHeight="1">
      <c r="A91" s="1200"/>
      <c r="B91" s="11" t="s">
        <v>714</v>
      </c>
      <c r="C91" s="1203"/>
      <c r="D91" s="1203"/>
      <c r="E91" s="9" t="s">
        <v>523</v>
      </c>
      <c r="F91" s="12"/>
      <c r="G91" s="204"/>
    </row>
    <row r="92" spans="1:7" s="41" customFormat="1" ht="16.5" customHeight="1">
      <c r="A92" s="1200"/>
      <c r="B92" s="11"/>
      <c r="C92" s="1203"/>
      <c r="D92" s="1203"/>
      <c r="E92" s="9" t="s">
        <v>524</v>
      </c>
      <c r="F92" s="12"/>
      <c r="G92" s="204"/>
    </row>
    <row r="93" spans="1:7" s="41" customFormat="1" ht="16.5" customHeight="1">
      <c r="A93" s="1200"/>
      <c r="B93" s="11"/>
      <c r="C93" s="1203"/>
      <c r="D93" s="1203"/>
      <c r="E93" s="9" t="s">
        <v>528</v>
      </c>
      <c r="F93" s="12"/>
      <c r="G93" s="204"/>
    </row>
    <row r="94" spans="1:7" s="41" customFormat="1" ht="16.5" customHeight="1">
      <c r="A94" s="1200"/>
      <c r="B94" s="11"/>
      <c r="C94" s="1203"/>
      <c r="D94" s="1203"/>
      <c r="E94" s="958" t="s">
        <v>718</v>
      </c>
      <c r="F94" s="12"/>
      <c r="G94" s="204"/>
    </row>
    <row r="95" spans="1:7" s="41" customFormat="1" ht="16.5" customHeight="1">
      <c r="A95" s="1200"/>
      <c r="B95" s="11"/>
      <c r="C95" s="1203"/>
      <c r="D95" s="1203"/>
      <c r="E95" s="9" t="s">
        <v>526</v>
      </c>
      <c r="F95" s="12"/>
      <c r="G95" s="204"/>
    </row>
    <row r="96" spans="1:7" s="41" customFormat="1" ht="24" customHeight="1">
      <c r="A96" s="885"/>
      <c r="B96" s="659"/>
      <c r="C96" s="884"/>
      <c r="D96" s="660"/>
      <c r="E96" s="94" t="s">
        <v>553</v>
      </c>
      <c r="F96" s="658"/>
      <c r="G96" s="204"/>
    </row>
    <row r="97" spans="1:28" s="13" customFormat="1" ht="15" customHeight="1">
      <c r="A97" s="1194" t="s">
        <v>596</v>
      </c>
      <c r="B97" s="194" t="s">
        <v>529</v>
      </c>
      <c r="C97" s="1194" t="s">
        <v>520</v>
      </c>
      <c r="D97" s="1194">
        <v>1</v>
      </c>
      <c r="E97" s="657" t="s">
        <v>521</v>
      </c>
      <c r="F97" s="617" t="s">
        <v>876</v>
      </c>
      <c r="G97" s="203">
        <f>1.843*0.4*1.43*0*0.43</f>
        <v>0</v>
      </c>
    </row>
    <row r="98" spans="1:28" s="13" customFormat="1" ht="15" customHeight="1">
      <c r="A98" s="1195"/>
      <c r="B98" s="8" t="s">
        <v>714</v>
      </c>
      <c r="C98" s="1195"/>
      <c r="D98" s="1195"/>
      <c r="E98" s="9" t="s">
        <v>523</v>
      </c>
      <c r="F98" s="12"/>
      <c r="G98" s="204"/>
    </row>
    <row r="99" spans="1:28" s="13" customFormat="1" ht="15" customHeight="1">
      <c r="A99" s="1195"/>
      <c r="B99" s="8"/>
      <c r="C99" s="1195"/>
      <c r="D99" s="1195"/>
      <c r="E99" s="9" t="s">
        <v>524</v>
      </c>
      <c r="F99" s="12"/>
      <c r="G99" s="204"/>
    </row>
    <row r="100" spans="1:28" s="13" customFormat="1" ht="15" customHeight="1">
      <c r="A100" s="1195"/>
      <c r="B100" s="8"/>
      <c r="C100" s="1195"/>
      <c r="D100" s="1195"/>
      <c r="E100" s="9" t="s">
        <v>530</v>
      </c>
      <c r="F100" s="12"/>
      <c r="G100" s="204"/>
    </row>
    <row r="101" spans="1:28" s="41" customFormat="1" ht="30" customHeight="1">
      <c r="A101" s="885"/>
      <c r="B101" s="659"/>
      <c r="C101" s="884"/>
      <c r="D101" s="660"/>
      <c r="E101" s="94" t="s">
        <v>554</v>
      </c>
      <c r="F101" s="658"/>
      <c r="G101" s="204"/>
    </row>
    <row r="102" spans="1:28" s="41" customFormat="1" ht="18" customHeight="1">
      <c r="A102" s="890" t="s">
        <v>597</v>
      </c>
      <c r="B102" s="246"/>
      <c r="C102" s="246"/>
      <c r="D102" s="246"/>
      <c r="E102" s="35"/>
      <c r="F102" s="261" t="s">
        <v>9</v>
      </c>
      <c r="G102" s="218">
        <f>SUM(G15:G101)</f>
        <v>0</v>
      </c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</row>
    <row r="103" spans="1:28" s="41" customFormat="1" ht="16.5" customHeight="1">
      <c r="A103" s="883" t="s">
        <v>787</v>
      </c>
      <c r="B103" s="255" t="s">
        <v>176</v>
      </c>
      <c r="C103" s="1194"/>
      <c r="D103" s="1194"/>
      <c r="E103" s="49" t="s">
        <v>666</v>
      </c>
      <c r="F103" s="620" t="s">
        <v>667</v>
      </c>
      <c r="G103" s="256">
        <f>G102*0.195</f>
        <v>0</v>
      </c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</row>
    <row r="104" spans="1:28" s="41" customFormat="1" ht="16.5" customHeight="1">
      <c r="A104" s="885"/>
      <c r="B104" s="253" t="s">
        <v>177</v>
      </c>
      <c r="C104" s="1195"/>
      <c r="D104" s="1195"/>
      <c r="E104" s="6"/>
      <c r="F104" s="257"/>
      <c r="G104" s="258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</row>
    <row r="105" spans="1:28" s="41" customFormat="1" ht="16.5" customHeight="1">
      <c r="A105" s="886"/>
      <c r="B105" s="259" t="s">
        <v>178</v>
      </c>
      <c r="C105" s="1196"/>
      <c r="D105" s="1196"/>
      <c r="E105" s="7"/>
      <c r="F105" s="42"/>
      <c r="G105" s="260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</row>
    <row r="106" spans="1:28" s="41" customFormat="1" ht="19.5" customHeight="1">
      <c r="A106" s="34"/>
      <c r="B106" s="612"/>
      <c r="C106" s="34"/>
      <c r="D106" s="34"/>
      <c r="E106" s="229"/>
      <c r="F106" s="699" t="s">
        <v>9</v>
      </c>
      <c r="G106" s="700">
        <f>G102+G103</f>
        <v>0</v>
      </c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</row>
    <row r="107" spans="1:28" s="53" customFormat="1" ht="12.75" customHeight="1">
      <c r="A107" s="25"/>
      <c r="B107" s="25"/>
      <c r="C107" s="25"/>
      <c r="D107" s="25"/>
      <c r="E107" s="26"/>
      <c r="F107" s="25"/>
      <c r="G107" s="28"/>
      <c r="H107" s="67"/>
      <c r="I107" s="67"/>
      <c r="J107" s="67"/>
      <c r="K107" s="67"/>
      <c r="L107" s="67"/>
      <c r="M107" s="67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</row>
    <row r="108" spans="1:28" s="13" customFormat="1" ht="15" hidden="1" customHeight="1">
      <c r="A108" s="1198"/>
      <c r="B108" s="1198"/>
      <c r="C108" s="1197"/>
      <c r="D108" s="1197"/>
      <c r="E108" s="719"/>
      <c r="F108" s="719"/>
      <c r="G108" s="719"/>
    </row>
    <row r="109" spans="1:28" s="13" customFormat="1" ht="12" hidden="1" customHeight="1">
      <c r="A109" s="25"/>
      <c r="B109" s="25"/>
      <c r="C109" s="25"/>
      <c r="D109" s="25"/>
      <c r="E109" s="26"/>
      <c r="F109" s="25"/>
      <c r="G109" s="28"/>
    </row>
    <row r="110" spans="1:28" s="86" customFormat="1" ht="17.25" hidden="1" customHeight="1">
      <c r="A110" s="1082" t="s">
        <v>28</v>
      </c>
      <c r="B110" s="1082"/>
      <c r="C110" s="71"/>
      <c r="D110" s="71"/>
      <c r="E110" s="71"/>
      <c r="F110" s="71"/>
      <c r="G110" s="71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</row>
    <row r="111" spans="1:28" s="86" customFormat="1" ht="1.5" customHeight="1">
      <c r="A111" s="71"/>
      <c r="B111" s="71"/>
      <c r="C111" s="71"/>
      <c r="D111" s="71"/>
      <c r="E111" s="71"/>
      <c r="F111" s="71"/>
      <c r="G111" s="71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</row>
    <row r="112" spans="1:28" s="86" customFormat="1" ht="15.75">
      <c r="A112" s="1176"/>
      <c r="B112" s="1176"/>
      <c r="C112" s="63"/>
      <c r="D112" s="63"/>
      <c r="E112" s="61"/>
      <c r="F112" s="59"/>
      <c r="G112" s="8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</row>
    <row r="113" spans="1:28" ht="15.75">
      <c r="A113" s="71"/>
      <c r="B113" s="63" t="s">
        <v>729</v>
      </c>
      <c r="C113" s="63"/>
      <c r="D113" s="63"/>
      <c r="E113" s="54"/>
      <c r="F113" s="84"/>
      <c r="G113" s="75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</row>
    <row r="114" spans="1:28" ht="15.75">
      <c r="A114" s="69"/>
      <c r="B114" s="68"/>
      <c r="C114" s="68"/>
      <c r="D114" s="68"/>
      <c r="E114" s="67"/>
      <c r="F114" s="621"/>
      <c r="G114" s="70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</row>
    <row r="115" spans="1:28" ht="15.75">
      <c r="A115" s="76"/>
      <c r="B115" s="76" t="s">
        <v>730</v>
      </c>
      <c r="C115" s="76"/>
      <c r="D115" s="76"/>
      <c r="E115" s="61"/>
      <c r="F115" s="59" t="s">
        <v>577</v>
      </c>
      <c r="G115" s="83"/>
      <c r="H115" s="86"/>
      <c r="I115" s="86"/>
      <c r="J115" s="86"/>
      <c r="K115" s="86"/>
      <c r="L115" s="86"/>
      <c r="M115" s="86"/>
      <c r="N115" s="86"/>
      <c r="O115" s="86"/>
      <c r="P115" s="86"/>
      <c r="Q115" s="86"/>
      <c r="R115" s="86"/>
      <c r="S115" s="86"/>
      <c r="T115" s="86"/>
      <c r="U115" s="86"/>
      <c r="V115" s="86"/>
      <c r="W115" s="86"/>
      <c r="X115" s="86"/>
      <c r="Y115" s="86"/>
      <c r="Z115" s="86"/>
      <c r="AA115" s="86"/>
      <c r="AB115" s="86"/>
    </row>
    <row r="116" spans="1:28" ht="15.75" hidden="1">
      <c r="A116" s="77" t="s">
        <v>29</v>
      </c>
      <c r="B116" s="1"/>
      <c r="C116" s="1"/>
      <c r="D116" s="1"/>
      <c r="E116" s="1"/>
      <c r="F116" s="78"/>
      <c r="G116" s="1"/>
      <c r="H116" s="86"/>
      <c r="I116" s="86"/>
      <c r="J116" s="86"/>
      <c r="K116" s="86"/>
      <c r="L116" s="86"/>
      <c r="M116" s="86"/>
      <c r="N116" s="86"/>
      <c r="O116" s="86"/>
      <c r="P116" s="86"/>
      <c r="Q116" s="86"/>
      <c r="R116" s="86"/>
      <c r="S116" s="86"/>
      <c r="T116" s="86"/>
      <c r="U116" s="86"/>
      <c r="V116" s="86"/>
      <c r="W116" s="86"/>
      <c r="X116" s="86"/>
      <c r="Y116" s="86"/>
      <c r="Z116" s="86"/>
      <c r="AA116" s="86"/>
      <c r="AB116" s="86"/>
    </row>
    <row r="117" spans="1:28" ht="30.75" hidden="1" customHeight="1">
      <c r="A117" s="720" t="s">
        <v>575</v>
      </c>
      <c r="B117" s="721"/>
      <c r="C117" s="721"/>
      <c r="D117" s="721"/>
      <c r="E117" s="722"/>
      <c r="F117" s="723"/>
      <c r="G117" s="707"/>
      <c r="H117" s="86"/>
      <c r="I117" s="86"/>
      <c r="J117" s="86"/>
      <c r="K117" s="86"/>
      <c r="L117" s="86"/>
      <c r="M117" s="86"/>
      <c r="N117" s="86"/>
      <c r="O117" s="86"/>
      <c r="P117" s="86"/>
      <c r="Q117" s="86"/>
      <c r="R117" s="86"/>
      <c r="S117" s="86"/>
      <c r="T117" s="86"/>
      <c r="U117" s="86"/>
      <c r="V117" s="86"/>
      <c r="W117" s="86"/>
      <c r="X117" s="86"/>
      <c r="Y117" s="86"/>
      <c r="Z117" s="86"/>
      <c r="AA117" s="86"/>
      <c r="AB117" s="86"/>
    </row>
    <row r="118" spans="1:28" ht="15.75" hidden="1">
      <c r="A118" s="720"/>
      <c r="B118" s="721"/>
      <c r="C118" s="721"/>
      <c r="D118" s="721"/>
      <c r="E118" s="722"/>
      <c r="F118" s="724"/>
      <c r="G118" s="701"/>
    </row>
    <row r="119" spans="1:28" ht="15.75" hidden="1">
      <c r="A119" s="725" t="s">
        <v>600</v>
      </c>
      <c r="B119" s="725"/>
      <c r="C119" s="725"/>
      <c r="D119" s="725"/>
      <c r="E119" s="725"/>
      <c r="F119" s="726" t="s">
        <v>573</v>
      </c>
      <c r="G119" s="710"/>
    </row>
    <row r="120" spans="1:28" ht="15.75" hidden="1">
      <c r="A120" s="710"/>
      <c r="B120" s="710"/>
      <c r="C120" s="710"/>
      <c r="D120" s="710"/>
      <c r="E120" s="710"/>
      <c r="F120" s="708"/>
      <c r="G120" s="712"/>
    </row>
    <row r="121" spans="1:28" ht="15.75" hidden="1">
      <c r="A121" s="727" t="s">
        <v>576</v>
      </c>
      <c r="B121" s="728"/>
      <c r="C121" s="728"/>
      <c r="D121" s="68"/>
      <c r="E121" s="68"/>
      <c r="F121" s="729" t="s">
        <v>577</v>
      </c>
      <c r="G121" s="729"/>
    </row>
    <row r="122" spans="1:28" s="86" customFormat="1" ht="17.25" customHeight="1">
      <c r="A122" s="1082"/>
      <c r="B122" s="1082"/>
      <c r="C122" s="71"/>
      <c r="D122" s="71"/>
      <c r="E122" s="71"/>
      <c r="F122" s="71"/>
      <c r="G122" s="71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</row>
    <row r="123" spans="1:28" s="86" customFormat="1" ht="15.75">
      <c r="A123" s="71"/>
      <c r="B123" s="71"/>
      <c r="C123" s="71"/>
      <c r="D123" s="71"/>
      <c r="E123" s="71"/>
      <c r="F123" s="71"/>
      <c r="G123" s="71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</row>
    <row r="124" spans="1:28" s="86" customFormat="1" ht="15.75">
      <c r="A124" s="1176"/>
      <c r="B124" s="1176"/>
      <c r="C124" s="63"/>
      <c r="D124" s="63"/>
      <c r="E124" s="61"/>
      <c r="F124" s="59"/>
      <c r="G124" s="8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</row>
    <row r="125" spans="1:28" ht="15.75">
      <c r="A125" s="71"/>
      <c r="B125" s="63"/>
      <c r="C125" s="63"/>
      <c r="D125" s="63"/>
      <c r="E125" s="54"/>
      <c r="F125" s="84"/>
      <c r="G125" s="75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</row>
    <row r="126" spans="1:28" ht="15.75">
      <c r="A126" s="69"/>
      <c r="B126" s="68"/>
      <c r="C126" s="68"/>
      <c r="D126" s="68"/>
      <c r="E126" s="67"/>
      <c r="F126" s="621"/>
      <c r="G126" s="70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</row>
    <row r="127" spans="1:28" ht="15.75">
      <c r="A127" s="76"/>
      <c r="B127" s="76"/>
      <c r="C127" s="76"/>
      <c r="D127" s="76"/>
      <c r="E127" s="61"/>
      <c r="F127" s="59"/>
      <c r="G127" s="83"/>
      <c r="H127" s="86"/>
      <c r="I127" s="86"/>
      <c r="J127" s="86"/>
      <c r="K127" s="86"/>
      <c r="L127" s="86"/>
      <c r="M127" s="86"/>
      <c r="N127" s="86"/>
      <c r="O127" s="86"/>
      <c r="P127" s="86"/>
      <c r="Q127" s="86"/>
      <c r="R127" s="86"/>
      <c r="S127" s="86"/>
      <c r="T127" s="86"/>
      <c r="U127" s="86"/>
      <c r="V127" s="86"/>
      <c r="W127" s="86"/>
      <c r="X127" s="86"/>
      <c r="Y127" s="86"/>
      <c r="Z127" s="86"/>
      <c r="AA127" s="86"/>
      <c r="AB127" s="86"/>
    </row>
    <row r="128" spans="1:28" ht="15.75">
      <c r="A128" s="77"/>
      <c r="B128" s="1"/>
      <c r="C128" s="1"/>
      <c r="D128" s="1"/>
      <c r="E128" s="1"/>
      <c r="F128" s="78"/>
      <c r="G128" s="1"/>
      <c r="H128" s="86"/>
      <c r="I128" s="86"/>
      <c r="J128" s="86"/>
      <c r="K128" s="86"/>
      <c r="L128" s="86"/>
      <c r="M128" s="86"/>
      <c r="N128" s="86"/>
      <c r="O128" s="86"/>
      <c r="P128" s="86"/>
      <c r="Q128" s="86"/>
      <c r="R128" s="86"/>
      <c r="S128" s="86"/>
      <c r="T128" s="86"/>
      <c r="U128" s="86"/>
      <c r="V128" s="86"/>
      <c r="W128" s="86"/>
      <c r="X128" s="86"/>
      <c r="Y128" s="86"/>
      <c r="Z128" s="86"/>
      <c r="AA128" s="86"/>
      <c r="AB128" s="86"/>
    </row>
    <row r="129" spans="1:28" ht="15.75">
      <c r="A129" s="703"/>
      <c r="B129" s="704"/>
      <c r="C129" s="704"/>
      <c r="D129" s="704"/>
      <c r="E129" s="705"/>
      <c r="F129" s="706"/>
      <c r="G129" s="707"/>
      <c r="H129" s="86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  <c r="T129" s="86"/>
      <c r="U129" s="86"/>
      <c r="V129" s="86"/>
      <c r="W129" s="86"/>
      <c r="X129" s="86"/>
      <c r="Y129" s="86"/>
      <c r="Z129" s="86"/>
      <c r="AA129" s="86"/>
      <c r="AB129" s="86"/>
    </row>
    <row r="130" spans="1:28" ht="15.75">
      <c r="A130" s="703"/>
      <c r="B130" s="704"/>
      <c r="C130" s="704"/>
      <c r="D130" s="704"/>
      <c r="E130" s="705"/>
      <c r="F130" s="708"/>
      <c r="G130" s="701"/>
    </row>
    <row r="131" spans="1:28" ht="15.75">
      <c r="A131" s="703"/>
      <c r="B131" s="704"/>
      <c r="C131" s="704"/>
      <c r="D131" s="704"/>
      <c r="E131" s="705"/>
      <c r="F131" s="709"/>
      <c r="G131" s="701"/>
    </row>
    <row r="132" spans="1:28" ht="15.75">
      <c r="A132" s="710"/>
      <c r="B132" s="710"/>
      <c r="C132" s="710"/>
      <c r="D132" s="710"/>
      <c r="E132" s="710"/>
      <c r="F132" s="711"/>
      <c r="G132" s="710"/>
    </row>
    <row r="133" spans="1:28" ht="15.75">
      <c r="A133" s="710"/>
      <c r="B133" s="710"/>
      <c r="C133" s="710"/>
      <c r="D133" s="710"/>
      <c r="E133" s="710"/>
      <c r="F133" s="708"/>
      <c r="G133" s="712"/>
    </row>
    <row r="134" spans="1:28" ht="15.75">
      <c r="A134" s="713"/>
      <c r="B134" s="713"/>
      <c r="C134" s="713"/>
      <c r="D134" s="713"/>
      <c r="E134" s="713"/>
      <c r="F134" s="711"/>
      <c r="G134" s="713"/>
    </row>
    <row r="135" spans="1:28" ht="15.75">
      <c r="A135" s="1193"/>
      <c r="B135" s="1193"/>
      <c r="C135" s="1193"/>
      <c r="D135" s="1193"/>
      <c r="E135" s="1193"/>
      <c r="F135" s="1193"/>
      <c r="G135" s="1193"/>
    </row>
    <row r="136" spans="1:28" ht="15.75">
      <c r="A136" s="710"/>
      <c r="B136" s="710"/>
      <c r="C136" s="710"/>
      <c r="D136" s="710"/>
      <c r="E136" s="710"/>
      <c r="F136" s="714"/>
      <c r="G136" s="710"/>
    </row>
  </sheetData>
  <mergeCells count="42">
    <mergeCell ref="A90:A95"/>
    <mergeCell ref="C90:C95"/>
    <mergeCell ref="D90:D95"/>
    <mergeCell ref="D58:D63"/>
    <mergeCell ref="D72:D82"/>
    <mergeCell ref="C83:C88"/>
    <mergeCell ref="C64:C71"/>
    <mergeCell ref="D64:D71"/>
    <mergeCell ref="D83:D88"/>
    <mergeCell ref="C58:C63"/>
    <mergeCell ref="C72:C82"/>
    <mergeCell ref="A83:A88"/>
    <mergeCell ref="D53:D57"/>
    <mergeCell ref="C53:C57"/>
    <mergeCell ref="F6:G6"/>
    <mergeCell ref="C15:C28"/>
    <mergeCell ref="D15:D28"/>
    <mergeCell ref="D33:D36"/>
    <mergeCell ref="C37:C41"/>
    <mergeCell ref="D37:D41"/>
    <mergeCell ref="C33:C36"/>
    <mergeCell ref="C42:C46"/>
    <mergeCell ref="D42:D46"/>
    <mergeCell ref="A15:A28"/>
    <mergeCell ref="A47:A52"/>
    <mergeCell ref="C47:C52"/>
    <mergeCell ref="D47:D52"/>
    <mergeCell ref="A37:A41"/>
    <mergeCell ref="A33:A36"/>
    <mergeCell ref="A42:A46"/>
    <mergeCell ref="A135:G135"/>
    <mergeCell ref="A122:B122"/>
    <mergeCell ref="A124:B124"/>
    <mergeCell ref="A97:A100"/>
    <mergeCell ref="C97:C100"/>
    <mergeCell ref="D97:D100"/>
    <mergeCell ref="C103:C105"/>
    <mergeCell ref="D103:D105"/>
    <mergeCell ref="C108:D108"/>
    <mergeCell ref="A110:B110"/>
    <mergeCell ref="A112:B112"/>
    <mergeCell ref="A108:B108"/>
  </mergeCells>
  <pageMargins left="0.74803149606299213" right="0.35433070866141736" top="0.59055118110236227" bottom="0.27559055118110237" header="0.51181102362204722" footer="0.51181102362204722"/>
  <pageSetup paperSize="9" scale="8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view="pageBreakPreview" topLeftCell="A22" zoomScaleNormal="100" zoomScaleSheetLayoutView="100" workbookViewId="0">
      <selection activeCell="F10" sqref="F10"/>
    </sheetView>
  </sheetViews>
  <sheetFormatPr defaultRowHeight="12.75"/>
  <cols>
    <col min="1" max="1" width="4.7109375" style="508" customWidth="1"/>
    <col min="2" max="2" width="6.140625" style="508" customWidth="1"/>
    <col min="3" max="3" width="21.140625" style="508" customWidth="1"/>
    <col min="4" max="4" width="23.42578125" style="508" customWidth="1"/>
    <col min="5" max="5" width="13" style="508" customWidth="1"/>
    <col min="6" max="6" width="15.28515625" style="508" customWidth="1"/>
    <col min="7" max="7" width="13.85546875" style="508" customWidth="1"/>
    <col min="8" max="8" width="9.140625" style="508"/>
    <col min="9" max="9" width="13" style="508" customWidth="1"/>
    <col min="10" max="16384" width="9.140625" style="508"/>
  </cols>
  <sheetData>
    <row r="1" spans="1:11" ht="15.75" hidden="1">
      <c r="F1" s="508" t="s">
        <v>662</v>
      </c>
      <c r="G1" s="560"/>
    </row>
    <row r="2" spans="1:11" ht="15.75">
      <c r="G2" s="560"/>
    </row>
    <row r="3" spans="1:11" s="509" customFormat="1" ht="15.75" customHeight="1">
      <c r="A3" s="1231" t="s">
        <v>546</v>
      </c>
      <c r="B3" s="1231"/>
      <c r="C3" s="1231"/>
      <c r="D3" s="1231"/>
      <c r="E3" s="1231"/>
      <c r="F3" s="1231"/>
      <c r="G3" s="1231"/>
    </row>
    <row r="4" spans="1:11" ht="4.5" customHeight="1">
      <c r="A4" s="1232"/>
      <c r="B4" s="1232"/>
      <c r="C4" s="1232"/>
      <c r="D4" s="1232"/>
      <c r="E4" s="1232"/>
      <c r="F4" s="1232"/>
      <c r="G4" s="1232"/>
    </row>
    <row r="5" spans="1:11" ht="29.25" customHeight="1">
      <c r="A5" s="1233" t="s">
        <v>582</v>
      </c>
      <c r="B5" s="1233"/>
      <c r="C5" s="1233"/>
      <c r="D5" s="1233"/>
      <c r="E5" s="1233"/>
      <c r="F5" s="1233"/>
      <c r="G5" s="1233"/>
    </row>
    <row r="6" spans="1:11" ht="3.75" customHeight="1"/>
    <row r="7" spans="1:11" ht="15.75">
      <c r="A7" s="508" t="s">
        <v>179</v>
      </c>
      <c r="D7" s="510" t="s">
        <v>180</v>
      </c>
      <c r="E7" s="511"/>
    </row>
    <row r="8" spans="1:11" ht="31.5" customHeight="1">
      <c r="A8" s="1234" t="s">
        <v>181</v>
      </c>
      <c r="B8" s="1234"/>
      <c r="C8" s="1234"/>
      <c r="D8" s="1235"/>
      <c r="E8" s="1235"/>
      <c r="F8" s="1235"/>
      <c r="G8" s="1235"/>
    </row>
    <row r="9" spans="1:11" ht="15.75">
      <c r="A9" s="508" t="s">
        <v>103</v>
      </c>
      <c r="D9" s="512"/>
    </row>
    <row r="10" spans="1:11">
      <c r="A10" s="508" t="s">
        <v>182</v>
      </c>
    </row>
    <row r="11" spans="1:11" ht="4.5" customHeight="1"/>
    <row r="12" spans="1:11" ht="15.75">
      <c r="A12" s="508" t="s">
        <v>35</v>
      </c>
      <c r="D12" s="512" t="s">
        <v>226</v>
      </c>
    </row>
    <row r="13" spans="1:11">
      <c r="A13" s="508" t="s">
        <v>183</v>
      </c>
    </row>
    <row r="14" spans="1:11" ht="5.25" customHeight="1"/>
    <row r="15" spans="1:11">
      <c r="A15" s="508" t="s">
        <v>184</v>
      </c>
    </row>
    <row r="16" spans="1:11">
      <c r="A16" s="1223" t="s">
        <v>185</v>
      </c>
      <c r="B16" s="1223"/>
      <c r="C16" s="1223"/>
      <c r="D16" s="1223"/>
      <c r="E16" s="1223"/>
      <c r="F16" s="1223"/>
      <c r="G16" s="1223"/>
      <c r="H16" s="514"/>
      <c r="I16" s="514"/>
      <c r="J16" s="514"/>
      <c r="K16" s="514"/>
    </row>
    <row r="17" spans="1:11" ht="27" hidden="1" customHeight="1">
      <c r="A17" s="1224" t="s">
        <v>186</v>
      </c>
      <c r="B17" s="1224"/>
      <c r="C17" s="1224"/>
      <c r="D17" s="1224"/>
      <c r="E17" s="1224"/>
      <c r="F17" s="1224"/>
      <c r="G17" s="1224"/>
      <c r="H17" s="513"/>
      <c r="I17" s="513"/>
      <c r="J17" s="513"/>
      <c r="K17" s="513"/>
    </row>
    <row r="18" spans="1:11" ht="17.25" hidden="1" customHeight="1">
      <c r="A18" s="1224" t="s">
        <v>187</v>
      </c>
      <c r="B18" s="1224"/>
      <c r="C18" s="1224"/>
      <c r="D18" s="1224"/>
      <c r="E18" s="1224"/>
      <c r="F18" s="1224"/>
      <c r="G18" s="1224"/>
      <c r="H18" s="513"/>
      <c r="I18" s="513"/>
      <c r="J18" s="513"/>
      <c r="K18" s="513"/>
    </row>
    <row r="19" spans="1:11" ht="8.25" customHeight="1"/>
    <row r="20" spans="1:11" s="518" customFormat="1" ht="73.5" customHeight="1">
      <c r="A20" s="515" t="s">
        <v>188</v>
      </c>
      <c r="B20" s="1225" t="s">
        <v>189</v>
      </c>
      <c r="C20" s="1226"/>
      <c r="D20" s="1227"/>
      <c r="E20" s="516" t="s">
        <v>190</v>
      </c>
      <c r="F20" s="515" t="s">
        <v>191</v>
      </c>
      <c r="G20" s="517" t="s">
        <v>104</v>
      </c>
    </row>
    <row r="21" spans="1:11" ht="13.5" customHeight="1">
      <c r="A21" s="519" t="s">
        <v>192</v>
      </c>
      <c r="B21" s="1228" t="s">
        <v>792</v>
      </c>
      <c r="C21" s="1229"/>
      <c r="D21" s="1229"/>
      <c r="E21" s="1229"/>
      <c r="F21" s="1230"/>
      <c r="G21" s="520"/>
    </row>
    <row r="22" spans="1:11" ht="15" customHeight="1">
      <c r="A22" s="521" t="s">
        <v>193</v>
      </c>
      <c r="B22" s="1214" t="s">
        <v>194</v>
      </c>
      <c r="C22" s="1215"/>
      <c r="D22" s="1216"/>
      <c r="E22" s="522" t="s">
        <v>195</v>
      </c>
      <c r="F22" s="523"/>
      <c r="G22" s="524"/>
    </row>
    <row r="23" spans="1:11" ht="26.25" customHeight="1">
      <c r="A23" s="521"/>
      <c r="B23" s="525" t="s">
        <v>196</v>
      </c>
      <c r="C23" s="526">
        <v>1.1000000000000001</v>
      </c>
      <c r="D23" s="527" t="s">
        <v>197</v>
      </c>
      <c r="E23" s="522"/>
      <c r="F23" s="523"/>
      <c r="G23" s="524"/>
    </row>
    <row r="24" spans="1:11" ht="26.25" customHeight="1">
      <c r="A24" s="521"/>
      <c r="B24" s="525"/>
      <c r="C24" s="526"/>
      <c r="D24" s="527"/>
      <c r="E24" s="522"/>
      <c r="F24" s="523"/>
      <c r="G24" s="524"/>
    </row>
    <row r="25" spans="1:11" ht="27.75" customHeight="1">
      <c r="A25" s="521"/>
      <c r="B25" s="525" t="s">
        <v>198</v>
      </c>
      <c r="C25" s="526">
        <v>1.1000000000000001</v>
      </c>
      <c r="D25" s="527" t="s">
        <v>199</v>
      </c>
      <c r="E25" s="522"/>
      <c r="F25" s="523"/>
      <c r="G25" s="524"/>
    </row>
    <row r="26" spans="1:11" ht="25.5" customHeight="1">
      <c r="A26" s="521"/>
      <c r="B26" s="525" t="s">
        <v>200</v>
      </c>
      <c r="C26" s="526">
        <v>0.3</v>
      </c>
      <c r="D26" s="527" t="s">
        <v>201</v>
      </c>
      <c r="E26" s="522"/>
      <c r="F26" s="523"/>
      <c r="G26" s="524"/>
    </row>
    <row r="27" spans="1:11" s="535" customFormat="1" ht="15.75" customHeight="1">
      <c r="A27" s="528"/>
      <c r="B27" s="529" t="s">
        <v>202</v>
      </c>
      <c r="C27" s="530" t="s">
        <v>203</v>
      </c>
      <c r="D27" s="531">
        <f>(1+(0.1+0.1))*0.3</f>
        <v>0.36</v>
      </c>
      <c r="E27" s="532"/>
      <c r="F27" s="533"/>
      <c r="G27" s="534"/>
    </row>
    <row r="28" spans="1:11" ht="15" customHeight="1">
      <c r="A28" s="521" t="s">
        <v>204</v>
      </c>
      <c r="B28" s="1214" t="s">
        <v>205</v>
      </c>
      <c r="C28" s="1215"/>
      <c r="D28" s="1216"/>
      <c r="E28" s="522" t="s">
        <v>206</v>
      </c>
      <c r="F28" s="523"/>
      <c r="G28" s="524"/>
    </row>
    <row r="29" spans="1:11" ht="14.25">
      <c r="A29" s="528"/>
      <c r="B29" s="525" t="s">
        <v>207</v>
      </c>
      <c r="C29" s="536">
        <v>1</v>
      </c>
      <c r="D29" s="537" t="s">
        <v>208</v>
      </c>
      <c r="E29" s="522"/>
      <c r="F29" s="523"/>
      <c r="G29" s="524"/>
    </row>
    <row r="30" spans="1:11" ht="14.25">
      <c r="A30" s="521"/>
      <c r="B30" s="525" t="s">
        <v>209</v>
      </c>
      <c r="C30" s="536">
        <v>1</v>
      </c>
      <c r="D30" s="537" t="s">
        <v>210</v>
      </c>
      <c r="E30" s="522"/>
      <c r="F30" s="523"/>
      <c r="G30" s="524"/>
    </row>
    <row r="31" spans="1:11" ht="14.25">
      <c r="A31" s="521"/>
      <c r="B31" s="525" t="s">
        <v>211</v>
      </c>
      <c r="C31" s="536">
        <v>2</v>
      </c>
      <c r="D31" s="537" t="s">
        <v>212</v>
      </c>
      <c r="E31" s="522"/>
      <c r="F31" s="523"/>
      <c r="G31" s="524"/>
    </row>
    <row r="32" spans="1:11" ht="14.25">
      <c r="A32" s="521"/>
      <c r="B32" s="525" t="s">
        <v>213</v>
      </c>
      <c r="C32" s="536">
        <v>2</v>
      </c>
      <c r="D32" s="537" t="s">
        <v>214</v>
      </c>
      <c r="E32" s="522"/>
      <c r="F32" s="523"/>
      <c r="G32" s="524"/>
    </row>
    <row r="33" spans="1:9" ht="24">
      <c r="A33" s="521"/>
      <c r="B33" s="525" t="s">
        <v>215</v>
      </c>
      <c r="C33" s="536">
        <v>3</v>
      </c>
      <c r="D33" s="537" t="s">
        <v>216</v>
      </c>
      <c r="E33" s="522"/>
      <c r="F33" s="523"/>
      <c r="G33" s="524"/>
    </row>
    <row r="34" spans="1:9">
      <c r="A34" s="521"/>
      <c r="B34" s="525"/>
      <c r="C34" s="536"/>
      <c r="D34" s="537"/>
      <c r="E34" s="522"/>
      <c r="F34" s="523"/>
      <c r="G34" s="524"/>
    </row>
    <row r="35" spans="1:9">
      <c r="A35" s="521"/>
      <c r="B35" s="525"/>
      <c r="C35" s="536"/>
      <c r="D35" s="537"/>
      <c r="E35" s="522"/>
      <c r="F35" s="523"/>
      <c r="G35" s="524"/>
    </row>
    <row r="36" spans="1:9" ht="14.25">
      <c r="A36" s="521"/>
      <c r="B36" s="525" t="s">
        <v>217</v>
      </c>
      <c r="C36" s="536">
        <v>3</v>
      </c>
      <c r="D36" s="537" t="s">
        <v>583</v>
      </c>
      <c r="E36" s="522"/>
      <c r="F36" s="523"/>
      <c r="G36" s="524"/>
    </row>
    <row r="37" spans="1:9" ht="14.25">
      <c r="A37" s="521"/>
      <c r="B37" s="525" t="s">
        <v>218</v>
      </c>
      <c r="C37" s="536">
        <v>2</v>
      </c>
      <c r="D37" s="537" t="s">
        <v>535</v>
      </c>
      <c r="E37" s="522"/>
      <c r="F37" s="523"/>
      <c r="G37" s="524"/>
    </row>
    <row r="38" spans="1:9" ht="14.25">
      <c r="A38" s="538"/>
      <c r="B38" s="539" t="s">
        <v>219</v>
      </c>
      <c r="C38" s="540" t="s">
        <v>753</v>
      </c>
      <c r="D38" s="541">
        <f>SUM(C29:C37)</f>
        <v>14</v>
      </c>
      <c r="E38" s="522" t="s">
        <v>220</v>
      </c>
      <c r="F38" s="523"/>
      <c r="G38" s="542">
        <f>D38*4.38</f>
        <v>61.32</v>
      </c>
    </row>
    <row r="39" spans="1:9" ht="15" customHeight="1">
      <c r="A39" s="521" t="s">
        <v>221</v>
      </c>
      <c r="B39" s="1218" t="s">
        <v>222</v>
      </c>
      <c r="C39" s="1219"/>
      <c r="D39" s="1220"/>
      <c r="E39" s="522"/>
      <c r="F39" s="543" t="s">
        <v>536</v>
      </c>
      <c r="G39" s="679">
        <f>G38*D27*1000</f>
        <v>22075</v>
      </c>
    </row>
    <row r="40" spans="1:9" ht="15" customHeight="1">
      <c r="A40" s="544"/>
      <c r="B40" s="1221" t="s">
        <v>223</v>
      </c>
      <c r="C40" s="1221"/>
      <c r="D40" s="1221"/>
      <c r="E40" s="545"/>
      <c r="F40" s="546"/>
      <c r="G40" s="680">
        <f>G39*0.4</f>
        <v>8830</v>
      </c>
    </row>
    <row r="41" spans="1:9" ht="15" customHeight="1">
      <c r="A41" s="544"/>
      <c r="B41" s="1221" t="s">
        <v>224</v>
      </c>
      <c r="C41" s="1221"/>
      <c r="D41" s="1221"/>
      <c r="E41" s="545"/>
      <c r="F41" s="546"/>
      <c r="G41" s="680">
        <f>G39*0.6</f>
        <v>13245</v>
      </c>
    </row>
    <row r="42" spans="1:9" ht="24.95" customHeight="1">
      <c r="A42" s="544" t="s">
        <v>133</v>
      </c>
      <c r="B42" s="1222" t="s">
        <v>537</v>
      </c>
      <c r="C42" s="1222"/>
      <c r="D42" s="1222"/>
      <c r="E42" s="547"/>
      <c r="F42" s="546"/>
      <c r="G42" s="680">
        <f>G40*14.2*1.43</f>
        <v>179302</v>
      </c>
    </row>
    <row r="43" spans="1:9" ht="24.95" customHeight="1">
      <c r="A43" s="544" t="s">
        <v>134</v>
      </c>
      <c r="B43" s="1222" t="s">
        <v>538</v>
      </c>
      <c r="C43" s="1222"/>
      <c r="D43" s="1222"/>
      <c r="E43" s="547"/>
      <c r="F43" s="546"/>
      <c r="G43" s="680">
        <f>G41*14.2*1.43</f>
        <v>268953</v>
      </c>
    </row>
    <row r="44" spans="1:9" ht="15" customHeight="1">
      <c r="A44" s="548" t="s">
        <v>135</v>
      </c>
      <c r="B44" s="549" t="s">
        <v>225</v>
      </c>
      <c r="C44" s="550"/>
      <c r="D44" s="551"/>
      <c r="E44" s="552"/>
      <c r="F44" s="553"/>
      <c r="G44" s="681">
        <f>SUM(G42:G43)</f>
        <v>448255</v>
      </c>
      <c r="I44" s="554"/>
    </row>
    <row r="45" spans="1:9" ht="30" hidden="1" customHeight="1">
      <c r="A45" s="555"/>
      <c r="B45" s="1082" t="s">
        <v>28</v>
      </c>
      <c r="C45" s="1082"/>
      <c r="D45" s="71"/>
      <c r="E45" s="71"/>
      <c r="F45" s="71"/>
      <c r="G45" s="71"/>
    </row>
    <row r="46" spans="1:9" ht="30" customHeight="1">
      <c r="A46" s="555"/>
      <c r="B46" s="927"/>
      <c r="C46" s="927"/>
      <c r="D46" s="927"/>
      <c r="E46" s="927"/>
      <c r="F46" s="927"/>
      <c r="G46" s="927"/>
    </row>
    <row r="47" spans="1:9" ht="17.25" customHeight="1">
      <c r="A47" s="555"/>
      <c r="B47" s="1217" t="s">
        <v>729</v>
      </c>
      <c r="C47" s="1217"/>
      <c r="D47" s="927"/>
      <c r="E47" s="927"/>
      <c r="F47" s="927"/>
      <c r="G47" s="927"/>
    </row>
    <row r="48" spans="1:9" s="557" customFormat="1" ht="17.25" customHeight="1">
      <c r="A48" s="556"/>
      <c r="B48" s="71"/>
      <c r="C48" s="71"/>
      <c r="D48" s="71"/>
      <c r="E48" s="71"/>
      <c r="F48" s="71"/>
      <c r="G48" s="71"/>
    </row>
    <row r="49" spans="1:9" s="557" customFormat="1" ht="17.25" customHeight="1">
      <c r="A49" s="558"/>
      <c r="B49" s="1217" t="s">
        <v>730</v>
      </c>
      <c r="C49" s="1217"/>
      <c r="D49" s="63"/>
      <c r="E49" s="63"/>
      <c r="F49" s="61" t="s">
        <v>577</v>
      </c>
      <c r="G49" s="59"/>
    </row>
    <row r="50" spans="1:9" ht="21.75" hidden="1" customHeight="1">
      <c r="A50" s="559"/>
      <c r="B50" s="77" t="s">
        <v>29</v>
      </c>
      <c r="C50" s="1"/>
      <c r="D50" s="1"/>
      <c r="E50" s="1"/>
      <c r="F50" s="1"/>
      <c r="G50" s="78"/>
      <c r="I50" s="554"/>
    </row>
    <row r="51" spans="1:9" ht="23.25" hidden="1" customHeight="1">
      <c r="B51" s="720" t="s">
        <v>575</v>
      </c>
      <c r="C51" s="721"/>
      <c r="D51" s="721"/>
      <c r="E51" s="721"/>
      <c r="F51" s="722"/>
      <c r="G51" s="723"/>
    </row>
    <row r="52" spans="1:9" ht="11.25" hidden="1" customHeight="1">
      <c r="B52" s="720"/>
      <c r="C52" s="721"/>
      <c r="D52" s="721"/>
      <c r="E52" s="721"/>
      <c r="F52" s="722"/>
      <c r="G52" s="724"/>
    </row>
    <row r="53" spans="1:9" ht="15.75" hidden="1">
      <c r="B53" s="725" t="s">
        <v>600</v>
      </c>
      <c r="C53" s="725"/>
      <c r="D53" s="725"/>
      <c r="E53" s="725"/>
      <c r="F53" s="725"/>
      <c r="G53" s="726" t="s">
        <v>573</v>
      </c>
    </row>
    <row r="54" spans="1:9" ht="15.75" hidden="1">
      <c r="B54" s="710"/>
      <c r="C54" s="710"/>
      <c r="D54" s="710"/>
      <c r="E54" s="710"/>
      <c r="F54" s="710"/>
      <c r="G54" s="708"/>
    </row>
    <row r="55" spans="1:9" ht="15.75" hidden="1">
      <c r="B55" s="727" t="s">
        <v>576</v>
      </c>
      <c r="C55" s="728"/>
      <c r="D55" s="728"/>
      <c r="E55" s="68"/>
      <c r="F55" s="68"/>
      <c r="G55" s="729" t="s">
        <v>577</v>
      </c>
    </row>
  </sheetData>
  <mergeCells count="20">
    <mergeCell ref="A3:G3"/>
    <mergeCell ref="A4:G4"/>
    <mergeCell ref="A5:G5"/>
    <mergeCell ref="A8:C8"/>
    <mergeCell ref="D8:G8"/>
    <mergeCell ref="A16:G16"/>
    <mergeCell ref="A17:G17"/>
    <mergeCell ref="A18:G18"/>
    <mergeCell ref="B20:D20"/>
    <mergeCell ref="B21:F21"/>
    <mergeCell ref="B22:D22"/>
    <mergeCell ref="B28:D28"/>
    <mergeCell ref="B45:C45"/>
    <mergeCell ref="B49:C49"/>
    <mergeCell ref="B39:D39"/>
    <mergeCell ref="B40:D40"/>
    <mergeCell ref="B41:D41"/>
    <mergeCell ref="B42:D42"/>
    <mergeCell ref="B43:D43"/>
    <mergeCell ref="B47:C47"/>
  </mergeCells>
  <pageMargins left="0.74803149606299213" right="0.35433070866141736" top="0.63" bottom="0.28999999999999998" header="0.51181102362204722" footer="0.17"/>
  <pageSetup paperSize="9" scale="9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3"/>
  <sheetViews>
    <sheetView view="pageBreakPreview" topLeftCell="A2" zoomScaleNormal="100" zoomScaleSheetLayoutView="100" workbookViewId="0">
      <selection activeCell="E7" sqref="E7:G7"/>
    </sheetView>
  </sheetViews>
  <sheetFormatPr defaultRowHeight="15"/>
  <cols>
    <col min="1" max="1" width="5.85546875" style="276" customWidth="1"/>
    <col min="2" max="2" width="24.85546875" style="124" customWidth="1"/>
    <col min="3" max="4" width="8.7109375" style="124" customWidth="1"/>
    <col min="5" max="5" width="19" style="232" customWidth="1"/>
    <col min="6" max="6" width="17.85546875" style="124" customWidth="1"/>
    <col min="7" max="7" width="12.28515625" style="277" customWidth="1"/>
    <col min="8" max="16384" width="9.140625" style="4"/>
  </cols>
  <sheetData>
    <row r="1" spans="1:7" s="231" customFormat="1" ht="22.5" hidden="1" customHeight="1">
      <c r="A1" s="195"/>
      <c r="B1" s="195"/>
      <c r="C1" s="195"/>
      <c r="D1" s="195"/>
      <c r="E1" s="195"/>
      <c r="F1" s="1236" t="s">
        <v>662</v>
      </c>
      <c r="G1" s="1236"/>
    </row>
    <row r="2" spans="1:7" s="231" customFormat="1" ht="22.5" customHeight="1">
      <c r="A2" s="897"/>
      <c r="B2" s="897"/>
      <c r="C2" s="897"/>
      <c r="D2" s="897"/>
      <c r="E2" s="897"/>
      <c r="F2" s="897"/>
      <c r="G2" s="897"/>
    </row>
    <row r="3" spans="1:7" ht="15.75">
      <c r="A3" s="1239" t="s">
        <v>30</v>
      </c>
      <c r="B3" s="1239"/>
      <c r="C3" s="1239"/>
      <c r="D3" s="1239"/>
      <c r="E3" s="1239"/>
      <c r="F3" s="1239"/>
      <c r="G3" s="1239"/>
    </row>
    <row r="4" spans="1:7" ht="15.75">
      <c r="A4" s="1240" t="s">
        <v>584</v>
      </c>
      <c r="B4" s="1240"/>
      <c r="C4" s="1240"/>
      <c r="D4" s="1240"/>
      <c r="E4" s="1240"/>
      <c r="F4" s="1240"/>
      <c r="G4" s="1240"/>
    </row>
    <row r="5" spans="1:7" ht="6" customHeight="1">
      <c r="A5" s="50"/>
      <c r="F5" s="262"/>
      <c r="G5" s="233"/>
    </row>
    <row r="6" spans="1:7" ht="36.75" customHeight="1">
      <c r="A6" s="1241" t="s">
        <v>18</v>
      </c>
      <c r="B6" s="1241"/>
      <c r="C6" s="230"/>
      <c r="D6" s="230"/>
      <c r="E6" s="1237"/>
      <c r="F6" s="1237"/>
      <c r="G6" s="1237"/>
    </row>
    <row r="7" spans="1:7" ht="31.5" customHeight="1">
      <c r="A7" s="50"/>
      <c r="B7" s="51"/>
      <c r="C7" s="51"/>
      <c r="D7" s="51"/>
      <c r="E7" s="1238" t="s">
        <v>227</v>
      </c>
      <c r="F7" s="1238"/>
      <c r="G7" s="1238"/>
    </row>
    <row r="8" spans="1:7" ht="12" customHeight="1">
      <c r="A8" s="50"/>
      <c r="G8" s="233"/>
    </row>
    <row r="9" spans="1:7" s="239" customFormat="1" ht="15" customHeight="1">
      <c r="A9" s="51" t="s">
        <v>105</v>
      </c>
      <c r="B9" s="124"/>
      <c r="C9" s="124"/>
      <c r="D9" s="124"/>
      <c r="E9" s="262"/>
      <c r="F9" s="262"/>
      <c r="G9" s="262"/>
    </row>
    <row r="10" spans="1:7" ht="12.75" customHeight="1">
      <c r="A10" s="234"/>
      <c r="G10" s="233"/>
    </row>
    <row r="11" spans="1:7" ht="15.75" customHeight="1">
      <c r="A11" s="51" t="s">
        <v>106</v>
      </c>
      <c r="E11" s="262" t="str">
        <f>'[2]смета №9 '!D14</f>
        <v>ОАО “СН-МНГ”</v>
      </c>
      <c r="F11" s="262"/>
      <c r="G11" s="262"/>
    </row>
    <row r="12" spans="1:7" ht="8.25" customHeight="1">
      <c r="A12" s="263"/>
      <c r="B12" s="264"/>
      <c r="C12" s="264"/>
      <c r="D12" s="264"/>
      <c r="E12" s="265"/>
      <c r="F12" s="264"/>
      <c r="G12" s="266"/>
    </row>
    <row r="13" spans="1:7" ht="48" customHeight="1">
      <c r="A13" s="267" t="s">
        <v>23</v>
      </c>
      <c r="B13" s="267" t="s">
        <v>71</v>
      </c>
      <c r="C13" s="267" t="s">
        <v>435</v>
      </c>
      <c r="D13" s="267" t="s">
        <v>421</v>
      </c>
      <c r="E13" s="268" t="s">
        <v>228</v>
      </c>
      <c r="F13" s="268" t="s">
        <v>21</v>
      </c>
      <c r="G13" s="269" t="s">
        <v>72</v>
      </c>
    </row>
    <row r="14" spans="1:7" ht="15.75" customHeight="1">
      <c r="A14" s="270">
        <v>1</v>
      </c>
      <c r="B14" s="270">
        <v>2</v>
      </c>
      <c r="C14" s="270" t="s">
        <v>134</v>
      </c>
      <c r="D14" s="270" t="s">
        <v>135</v>
      </c>
      <c r="E14" s="92">
        <v>5</v>
      </c>
      <c r="F14" s="92">
        <v>6</v>
      </c>
      <c r="G14" s="271">
        <v>7</v>
      </c>
    </row>
    <row r="15" spans="1:7" ht="15.75" customHeight="1">
      <c r="A15" s="5" t="s">
        <v>192</v>
      </c>
      <c r="B15" s="11" t="s">
        <v>229</v>
      </c>
      <c r="C15" s="11" t="s">
        <v>256</v>
      </c>
      <c r="D15" s="5" t="s">
        <v>192</v>
      </c>
      <c r="E15" s="245" t="s">
        <v>37</v>
      </c>
      <c r="F15" s="8" t="s">
        <v>230</v>
      </c>
      <c r="G15" s="204">
        <f>67.95*0.33*1.43*0*0.03*24*0.4</f>
        <v>0</v>
      </c>
    </row>
    <row r="16" spans="1:7" ht="15.75" customHeight="1">
      <c r="A16" s="272"/>
      <c r="B16" s="11" t="s">
        <v>231</v>
      </c>
      <c r="C16" s="11"/>
      <c r="D16" s="11"/>
      <c r="E16" s="245" t="s">
        <v>232</v>
      </c>
      <c r="F16" s="888" t="s">
        <v>850</v>
      </c>
      <c r="G16" s="204"/>
    </row>
    <row r="17" spans="1:28" ht="15.75" customHeight="1">
      <c r="A17" s="272"/>
      <c r="B17" s="11" t="s">
        <v>233</v>
      </c>
      <c r="C17" s="11"/>
      <c r="D17" s="11"/>
      <c r="E17" s="245" t="s">
        <v>234</v>
      </c>
      <c r="F17" s="8"/>
      <c r="G17" s="204"/>
    </row>
    <row r="18" spans="1:28">
      <c r="A18" s="272"/>
      <c r="B18" s="11"/>
      <c r="C18" s="11"/>
      <c r="D18" s="11"/>
      <c r="E18" s="245" t="s">
        <v>235</v>
      </c>
      <c r="F18" s="8"/>
      <c r="G18" s="204"/>
    </row>
    <row r="19" spans="1:28">
      <c r="A19" s="272"/>
      <c r="B19" s="11"/>
      <c r="C19" s="11"/>
      <c r="D19" s="11"/>
      <c r="E19" s="245" t="s">
        <v>2</v>
      </c>
      <c r="F19" s="8"/>
      <c r="G19" s="204"/>
    </row>
    <row r="20" spans="1:28" ht="12.75" customHeight="1">
      <c r="A20" s="39"/>
      <c r="B20" s="236"/>
      <c r="C20" s="236"/>
      <c r="D20" s="236"/>
      <c r="E20" s="94" t="s">
        <v>849</v>
      </c>
      <c r="F20" s="224"/>
      <c r="G20" s="90"/>
    </row>
    <row r="21" spans="1:28" ht="22.5">
      <c r="A21" s="39"/>
      <c r="B21" s="236"/>
      <c r="C21" s="236"/>
      <c r="D21" s="236"/>
      <c r="E21" s="245" t="s">
        <v>821</v>
      </c>
      <c r="F21" s="224"/>
      <c r="G21" s="90"/>
    </row>
    <row r="22" spans="1:28" ht="15.75">
      <c r="A22" s="39"/>
      <c r="B22" s="236"/>
      <c r="C22" s="236"/>
      <c r="D22" s="236"/>
      <c r="E22" s="245" t="s">
        <v>822</v>
      </c>
      <c r="F22" s="224"/>
      <c r="G22" s="90"/>
    </row>
    <row r="23" spans="1:28" ht="15.75">
      <c r="A23" s="214"/>
      <c r="B23" s="228"/>
      <c r="C23" s="228"/>
      <c r="D23" s="228"/>
      <c r="E23" s="273"/>
      <c r="F23" s="274" t="s">
        <v>9</v>
      </c>
      <c r="G23" s="252">
        <f>SUM(G15:G21)</f>
        <v>0</v>
      </c>
    </row>
    <row r="24" spans="1:28" ht="15.75">
      <c r="A24" s="861"/>
      <c r="B24" s="862"/>
      <c r="C24" s="862"/>
      <c r="D24" s="862"/>
      <c r="E24" s="188"/>
      <c r="F24" s="863"/>
      <c r="G24" s="864"/>
    </row>
    <row r="25" spans="1:28" ht="7.5" customHeight="1">
      <c r="A25" s="234"/>
      <c r="G25" s="233"/>
    </row>
    <row r="26" spans="1:28" ht="12" customHeight="1">
      <c r="A26" s="275"/>
      <c r="B26" s="275"/>
      <c r="C26" s="275"/>
      <c r="D26" s="275"/>
      <c r="E26" s="275"/>
      <c r="F26" s="275"/>
      <c r="G26" s="275"/>
    </row>
    <row r="27" spans="1:28" s="86" customFormat="1" ht="17.25" hidden="1" customHeight="1">
      <c r="A27" s="1082" t="s">
        <v>28</v>
      </c>
      <c r="B27" s="1082"/>
      <c r="C27" s="71"/>
      <c r="D27" s="71"/>
      <c r="E27" s="71"/>
      <c r="F27" s="71"/>
      <c r="G27" s="71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</row>
    <row r="28" spans="1:28" s="86" customFormat="1" ht="15.75">
      <c r="A28" s="71"/>
      <c r="B28" s="972" t="s">
        <v>729</v>
      </c>
      <c r="C28" s="71"/>
      <c r="D28" s="71"/>
      <c r="E28" s="71"/>
      <c r="F28" s="71"/>
      <c r="G28" s="71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</row>
    <row r="29" spans="1:28" s="86" customFormat="1" ht="15.75">
      <c r="A29" s="1176"/>
      <c r="B29" s="1176"/>
      <c r="C29" s="63"/>
      <c r="D29" s="63"/>
      <c r="E29" s="61"/>
      <c r="F29" s="59"/>
      <c r="G29" s="8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</row>
    <row r="30" spans="1:28" s="16" customFormat="1" ht="15.75">
      <c r="A30" s="71"/>
      <c r="B30" s="63" t="s">
        <v>730</v>
      </c>
      <c r="C30" s="63"/>
      <c r="D30" s="63"/>
      <c r="E30" s="54"/>
      <c r="F30" s="931" t="s">
        <v>577</v>
      </c>
      <c r="G30" s="75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</row>
    <row r="31" spans="1:28" s="16" customFormat="1" ht="15.75">
      <c r="A31" s="69"/>
      <c r="B31" s="68"/>
      <c r="C31" s="68"/>
      <c r="D31" s="68"/>
      <c r="E31" s="67"/>
      <c r="F31" s="621"/>
      <c r="G31" s="70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</row>
    <row r="32" spans="1:28" s="16" customFormat="1" ht="15.75">
      <c r="A32" s="76"/>
      <c r="B32" s="76"/>
      <c r="C32" s="76"/>
      <c r="D32" s="76"/>
      <c r="E32" s="61"/>
      <c r="F32" s="59"/>
      <c r="G32" s="83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</row>
    <row r="33" spans="1:28" s="16" customFormat="1" ht="15.75">
      <c r="A33" s="76"/>
      <c r="B33" s="76"/>
      <c r="C33" s="76"/>
      <c r="D33" s="76"/>
      <c r="E33" s="61"/>
      <c r="F33" s="59"/>
      <c r="G33" s="83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</row>
    <row r="34" spans="1:28" s="16" customFormat="1" ht="15.75" hidden="1">
      <c r="A34" s="77" t="s">
        <v>29</v>
      </c>
      <c r="B34" s="1"/>
      <c r="C34" s="1"/>
      <c r="D34" s="1"/>
      <c r="E34" s="1"/>
      <c r="F34" s="78"/>
      <c r="G34" s="1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</row>
    <row r="35" spans="1:28" s="16" customFormat="1" ht="27.75" hidden="1" customHeight="1">
      <c r="A35" s="720" t="s">
        <v>575</v>
      </c>
      <c r="B35" s="721"/>
      <c r="C35" s="721"/>
      <c r="D35" s="721"/>
      <c r="E35" s="722"/>
      <c r="F35" s="723"/>
      <c r="G35" s="707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</row>
    <row r="36" spans="1:28" s="16" customFormat="1" ht="15.75" hidden="1">
      <c r="A36" s="720"/>
      <c r="B36" s="721"/>
      <c r="C36" s="721"/>
      <c r="D36" s="721"/>
      <c r="E36" s="722"/>
      <c r="F36" s="724"/>
      <c r="G36" s="701"/>
    </row>
    <row r="37" spans="1:28" s="16" customFormat="1" ht="15.75" hidden="1">
      <c r="A37" s="725" t="s">
        <v>600</v>
      </c>
      <c r="B37" s="725"/>
      <c r="C37" s="725"/>
      <c r="D37" s="725"/>
      <c r="E37" s="725"/>
      <c r="F37" s="726" t="s">
        <v>573</v>
      </c>
      <c r="G37" s="710"/>
    </row>
    <row r="38" spans="1:28" s="16" customFormat="1" ht="15.75" hidden="1">
      <c r="A38" s="710"/>
      <c r="B38" s="710"/>
      <c r="C38" s="710"/>
      <c r="D38" s="710"/>
      <c r="E38" s="710"/>
      <c r="F38" s="708"/>
      <c r="G38" s="712"/>
    </row>
    <row r="39" spans="1:28" s="16" customFormat="1" ht="15.75" hidden="1">
      <c r="A39" s="727" t="s">
        <v>576</v>
      </c>
      <c r="B39" s="728"/>
      <c r="C39" s="728"/>
      <c r="D39" s="68"/>
      <c r="E39" s="68"/>
      <c r="F39" s="729" t="s">
        <v>577</v>
      </c>
      <c r="G39" s="729"/>
    </row>
    <row r="40" spans="1:28" s="13" customFormat="1" ht="15" customHeight="1">
      <c r="A40" s="51"/>
      <c r="B40" s="51"/>
      <c r="C40" s="51"/>
      <c r="D40" s="51"/>
      <c r="E40" s="51"/>
      <c r="F40" s="59"/>
      <c r="G40" s="64"/>
    </row>
    <row r="41" spans="1:28" s="13" customFormat="1" ht="8.25" customHeight="1">
      <c r="A41" s="80"/>
      <c r="B41" s="80"/>
      <c r="C41" s="80"/>
      <c r="D41" s="80"/>
      <c r="E41" s="80"/>
      <c r="F41" s="50"/>
      <c r="G41" s="80"/>
    </row>
    <row r="42" spans="1:28" s="13" customFormat="1" ht="15.75">
      <c r="A42" s="1162"/>
      <c r="B42" s="1162"/>
      <c r="C42" s="1162"/>
      <c r="D42" s="1162"/>
      <c r="E42" s="1162"/>
      <c r="F42" s="1162"/>
      <c r="G42" s="1162"/>
    </row>
    <row r="43" spans="1:28" s="16" customFormat="1" ht="15.75">
      <c r="A43" s="51"/>
      <c r="B43" s="51"/>
      <c r="C43" s="51"/>
      <c r="D43" s="51"/>
      <c r="E43" s="51"/>
      <c r="F43" s="195"/>
      <c r="G43" s="51"/>
    </row>
  </sheetData>
  <mergeCells count="9">
    <mergeCell ref="F1:G1"/>
    <mergeCell ref="A42:G42"/>
    <mergeCell ref="E6:G6"/>
    <mergeCell ref="E7:G7"/>
    <mergeCell ref="A3:G3"/>
    <mergeCell ref="A4:G4"/>
    <mergeCell ref="A6:B6"/>
    <mergeCell ref="A27:B27"/>
    <mergeCell ref="A29:B29"/>
  </mergeCells>
  <pageMargins left="0.74803149606299213" right="0.35433070866141736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9"/>
  <sheetViews>
    <sheetView view="pageBreakPreview" topLeftCell="A11" zoomScaleNormal="100" zoomScaleSheetLayoutView="100" workbookViewId="0">
      <selection activeCell="E22" sqref="E22"/>
    </sheetView>
  </sheetViews>
  <sheetFormatPr defaultRowHeight="12.75"/>
  <cols>
    <col min="1" max="1" width="4.85546875" customWidth="1"/>
    <col min="2" max="2" width="23" customWidth="1"/>
    <col min="3" max="3" width="20.28515625" customWidth="1"/>
    <col min="4" max="4" width="29.7109375" customWidth="1"/>
    <col min="5" max="5" width="12.140625" customWidth="1"/>
    <col min="6" max="6" width="13.28515625" customWidth="1"/>
    <col min="7" max="9" width="9.140625" hidden="1" customWidth="1"/>
  </cols>
  <sheetData>
    <row r="1" spans="1:6" ht="21" hidden="1" customHeight="1">
      <c r="A1" s="241"/>
      <c r="B1" s="241"/>
      <c r="C1" s="241"/>
      <c r="D1" s="1242" t="s">
        <v>662</v>
      </c>
      <c r="E1" s="1242"/>
    </row>
    <row r="2" spans="1:6" ht="21" customHeight="1">
      <c r="A2" s="896"/>
      <c r="B2" s="896"/>
      <c r="C2" s="896"/>
      <c r="D2" s="896"/>
      <c r="E2" s="896"/>
    </row>
    <row r="3" spans="1:6" ht="15.75">
      <c r="A3" s="1244" t="s">
        <v>592</v>
      </c>
      <c r="B3" s="1244"/>
      <c r="C3" s="1244"/>
      <c r="D3" s="1244"/>
      <c r="E3" s="1244"/>
    </row>
    <row r="4" spans="1:6" ht="33" customHeight="1">
      <c r="A4" s="1245" t="s">
        <v>585</v>
      </c>
      <c r="B4" s="1245"/>
      <c r="C4" s="1245"/>
      <c r="D4" s="1245"/>
      <c r="E4" s="1245"/>
    </row>
    <row r="5" spans="1:6" ht="3.75" customHeight="1">
      <c r="A5" s="3"/>
      <c r="B5" s="3"/>
      <c r="C5" s="3"/>
      <c r="D5" s="1"/>
      <c r="E5" s="1"/>
    </row>
    <row r="6" spans="1:6" s="280" customFormat="1" ht="50.25" customHeight="1">
      <c r="A6" s="278" t="s">
        <v>18</v>
      </c>
      <c r="B6" s="279"/>
      <c r="C6" s="279"/>
      <c r="D6" s="1243"/>
      <c r="E6" s="1243"/>
    </row>
    <row r="7" spans="1:6" ht="49.5" customHeight="1">
      <c r="A7" s="281"/>
      <c r="B7" s="1"/>
      <c r="C7" s="1"/>
      <c r="D7" s="1243" t="s">
        <v>236</v>
      </c>
      <c r="E7" s="1243"/>
    </row>
    <row r="8" spans="1:6" ht="3.75" customHeight="1">
      <c r="A8" s="282"/>
      <c r="B8" s="1"/>
      <c r="C8" s="1"/>
      <c r="D8" s="1"/>
      <c r="E8" s="1"/>
    </row>
    <row r="9" spans="1:6" ht="15.75">
      <c r="A9" s="281" t="s">
        <v>105</v>
      </c>
      <c r="B9" s="1"/>
      <c r="C9" s="281"/>
      <c r="D9" s="128"/>
      <c r="E9" s="1"/>
    </row>
    <row r="10" spans="1:6" ht="8.25" customHeight="1">
      <c r="A10" s="2"/>
      <c r="B10" s="1"/>
      <c r="C10" s="1"/>
      <c r="D10" s="1"/>
      <c r="E10" s="1"/>
    </row>
    <row r="11" spans="1:6" ht="15.75">
      <c r="A11" s="281" t="s">
        <v>106</v>
      </c>
      <c r="B11" s="1"/>
      <c r="C11" s="281"/>
      <c r="D11" s="2" t="s">
        <v>24</v>
      </c>
      <c r="E11" s="1"/>
    </row>
    <row r="12" spans="1:6" ht="3.75" customHeight="1">
      <c r="A12" s="2"/>
      <c r="B12" s="1"/>
      <c r="C12" s="1"/>
      <c r="D12" s="1"/>
      <c r="E12" s="1"/>
    </row>
    <row r="13" spans="1:6" ht="53.25" customHeight="1">
      <c r="A13" s="283" t="s">
        <v>237</v>
      </c>
      <c r="B13" s="284" t="s">
        <v>71</v>
      </c>
      <c r="C13" s="285" t="s">
        <v>228</v>
      </c>
      <c r="D13" s="284" t="s">
        <v>21</v>
      </c>
      <c r="E13" s="286" t="s">
        <v>257</v>
      </c>
    </row>
    <row r="14" spans="1:6" ht="15.75" customHeight="1">
      <c r="A14" s="292" t="s">
        <v>4</v>
      </c>
      <c r="B14" s="293" t="s">
        <v>238</v>
      </c>
      <c r="C14" s="294" t="s">
        <v>239</v>
      </c>
      <c r="D14" s="295" t="s">
        <v>240</v>
      </c>
      <c r="E14" s="311">
        <f>30500*1.3*1.04*1.3*0.9*1.15*0*1.43</f>
        <v>0</v>
      </c>
      <c r="F14" s="622"/>
    </row>
    <row r="15" spans="1:6" ht="15.75" customHeight="1">
      <c r="A15" s="296"/>
      <c r="B15" s="297" t="s">
        <v>241</v>
      </c>
      <c r="C15" s="298" t="s">
        <v>242</v>
      </c>
      <c r="D15" s="299" t="s">
        <v>852</v>
      </c>
      <c r="E15" s="312"/>
    </row>
    <row r="16" spans="1:6" ht="15.75" customHeight="1">
      <c r="A16" s="296"/>
      <c r="B16" s="297" t="s">
        <v>243</v>
      </c>
      <c r="C16" s="298" t="s">
        <v>244</v>
      </c>
      <c r="D16" s="299"/>
      <c r="E16" s="312"/>
    </row>
    <row r="17" spans="1:5" ht="15.75" customHeight="1">
      <c r="A17" s="296"/>
      <c r="B17" s="300" t="s">
        <v>245</v>
      </c>
      <c r="C17" s="298" t="s">
        <v>246</v>
      </c>
      <c r="D17" s="967" t="s">
        <v>247</v>
      </c>
      <c r="E17" s="312"/>
    </row>
    <row r="18" spans="1:5" ht="27" customHeight="1">
      <c r="A18" s="296"/>
      <c r="B18" s="300" t="s">
        <v>248</v>
      </c>
      <c r="C18" s="298" t="s">
        <v>723</v>
      </c>
      <c r="D18" s="301" t="s">
        <v>725</v>
      </c>
      <c r="E18" s="312"/>
    </row>
    <row r="19" spans="1:5" ht="15.75" customHeight="1">
      <c r="A19" s="296"/>
      <c r="B19" s="302"/>
      <c r="C19" s="298" t="s">
        <v>249</v>
      </c>
      <c r="D19" s="301" t="s">
        <v>250</v>
      </c>
      <c r="E19" s="312"/>
    </row>
    <row r="20" spans="1:5" ht="37.5" customHeight="1">
      <c r="A20" s="296"/>
      <c r="B20" s="300"/>
      <c r="C20" s="298" t="s">
        <v>724</v>
      </c>
      <c r="D20" s="301" t="s">
        <v>726</v>
      </c>
      <c r="E20" s="312"/>
    </row>
    <row r="21" spans="1:5" ht="15.75" customHeight="1">
      <c r="A21" s="296"/>
      <c r="B21" s="300"/>
      <c r="C21" s="298" t="s">
        <v>251</v>
      </c>
      <c r="D21" s="301" t="s">
        <v>252</v>
      </c>
      <c r="E21" s="312"/>
    </row>
    <row r="22" spans="1:5" ht="42.75" customHeight="1">
      <c r="A22" s="296"/>
      <c r="B22" s="300"/>
      <c r="C22" s="298" t="s">
        <v>727</v>
      </c>
      <c r="D22" s="966" t="s">
        <v>728</v>
      </c>
      <c r="E22" s="312"/>
    </row>
    <row r="23" spans="1:5" ht="15.75" customHeight="1">
      <c r="A23" s="296"/>
      <c r="B23" s="300"/>
      <c r="C23" s="298" t="s">
        <v>2</v>
      </c>
      <c r="D23" s="301" t="s">
        <v>254</v>
      </c>
      <c r="E23" s="312"/>
    </row>
    <row r="24" spans="1:5" ht="15.75" customHeight="1">
      <c r="A24" s="296"/>
      <c r="B24" s="300"/>
      <c r="C24" s="298" t="s">
        <v>851</v>
      </c>
      <c r="D24" s="968" t="s">
        <v>255</v>
      </c>
      <c r="E24" s="312"/>
    </row>
    <row r="25" spans="1:5" s="67" customFormat="1" ht="15.75" customHeight="1">
      <c r="A25" s="296"/>
      <c r="B25" s="300"/>
      <c r="C25" s="298" t="s">
        <v>253</v>
      </c>
      <c r="D25" s="301"/>
      <c r="E25" s="312"/>
    </row>
    <row r="26" spans="1:5" s="67" customFormat="1" ht="15.75" customHeight="1">
      <c r="A26" s="296"/>
      <c r="B26" s="300"/>
      <c r="C26" s="298"/>
      <c r="D26" s="299" t="s">
        <v>36</v>
      </c>
      <c r="E26" s="312"/>
    </row>
    <row r="27" spans="1:5" s="67" customFormat="1" ht="15.75" customHeight="1">
      <c r="A27" s="296"/>
      <c r="B27" s="300"/>
      <c r="C27" s="298"/>
      <c r="D27" s="301"/>
      <c r="E27" s="312"/>
    </row>
    <row r="28" spans="1:5" s="67" customFormat="1" ht="15.75" customHeight="1">
      <c r="A28" s="857"/>
      <c r="B28" s="300"/>
      <c r="C28" s="298"/>
      <c r="D28" s="301"/>
      <c r="E28" s="312"/>
    </row>
    <row r="29" spans="1:5" s="67" customFormat="1" ht="15.75" customHeight="1">
      <c r="A29" s="296"/>
      <c r="B29" s="300"/>
      <c r="C29" s="298"/>
      <c r="D29" s="301"/>
      <c r="E29" s="312"/>
    </row>
    <row r="30" spans="1:5" s="67" customFormat="1" ht="15.75" customHeight="1">
      <c r="A30" s="296"/>
      <c r="B30" s="300"/>
      <c r="C30" s="298"/>
      <c r="D30" s="301"/>
      <c r="E30" s="312"/>
    </row>
    <row r="31" spans="1:5" s="67" customFormat="1" ht="15.75" customHeight="1">
      <c r="A31" s="303"/>
      <c r="B31" s="304"/>
      <c r="C31" s="305"/>
      <c r="D31" s="306"/>
      <c r="E31" s="313"/>
    </row>
    <row r="32" spans="1:5" ht="15.75">
      <c r="A32" s="307"/>
      <c r="B32" s="308"/>
      <c r="C32" s="309"/>
      <c r="D32" s="310" t="s">
        <v>9</v>
      </c>
      <c r="E32" s="314">
        <f>SUM(E14:E25)</f>
        <v>0</v>
      </c>
    </row>
    <row r="33" spans="1:28" ht="11.25" customHeight="1">
      <c r="A33" s="287"/>
      <c r="B33" s="288"/>
      <c r="C33" s="289"/>
      <c r="D33" s="290"/>
      <c r="E33" s="291"/>
    </row>
    <row r="34" spans="1:28" s="86" customFormat="1" ht="23.25" hidden="1" customHeight="1">
      <c r="A34" s="1082" t="s">
        <v>28</v>
      </c>
      <c r="B34" s="1082"/>
      <c r="C34" s="71"/>
      <c r="D34" s="71"/>
      <c r="E34" s="71"/>
      <c r="F34" s="71"/>
      <c r="G34" s="71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</row>
    <row r="35" spans="1:28" s="86" customFormat="1" ht="6" customHeight="1">
      <c r="A35" s="71"/>
      <c r="B35" s="71"/>
      <c r="C35" s="71"/>
      <c r="D35" s="71"/>
      <c r="E35" s="71"/>
      <c r="F35" s="71"/>
      <c r="G35" s="71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</row>
    <row r="36" spans="1:28" s="86" customFormat="1" ht="15.75">
      <c r="A36" s="1176"/>
      <c r="B36" s="1176"/>
      <c r="C36" s="63"/>
      <c r="D36" s="63"/>
      <c r="E36" s="59"/>
      <c r="F36" s="59"/>
      <c r="G36" s="8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</row>
    <row r="37" spans="1:28" s="16" customFormat="1" ht="26.25" customHeight="1">
      <c r="A37" s="71"/>
      <c r="B37" s="63" t="s">
        <v>729</v>
      </c>
      <c r="C37" s="63"/>
      <c r="D37" s="63"/>
      <c r="E37" s="84"/>
      <c r="F37" s="84"/>
      <c r="G37" s="75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</row>
    <row r="38" spans="1:28" s="16" customFormat="1" ht="15.75">
      <c r="A38" s="69"/>
      <c r="B38" s="68"/>
      <c r="C38" s="68"/>
      <c r="D38" s="68"/>
      <c r="E38" s="621"/>
      <c r="F38" s="621"/>
      <c r="G38" s="70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</row>
    <row r="39" spans="1:28" s="16" customFormat="1" ht="20.25" customHeight="1">
      <c r="A39" s="76"/>
      <c r="B39" s="931" t="s">
        <v>730</v>
      </c>
      <c r="C39" s="76"/>
      <c r="D39" s="123" t="s">
        <v>577</v>
      </c>
      <c r="E39" s="59"/>
      <c r="F39" s="59"/>
      <c r="G39" s="83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</row>
    <row r="40" spans="1:28" s="16" customFormat="1" ht="22.5" hidden="1" customHeight="1">
      <c r="A40" s="77" t="s">
        <v>29</v>
      </c>
      <c r="B40" s="1"/>
      <c r="C40" s="1"/>
      <c r="D40" s="1"/>
      <c r="E40" s="78"/>
      <c r="F40" s="78"/>
      <c r="G40" s="1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</row>
    <row r="41" spans="1:28" s="16" customFormat="1" ht="25.5" hidden="1" customHeight="1">
      <c r="A41" s="720" t="s">
        <v>575</v>
      </c>
      <c r="B41" s="721"/>
      <c r="C41" s="721"/>
      <c r="D41" s="721"/>
      <c r="E41" s="723"/>
      <c r="F41" s="723"/>
      <c r="G41" s="707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</row>
    <row r="42" spans="1:28" s="16" customFormat="1" ht="15.75" hidden="1">
      <c r="A42" s="720"/>
      <c r="B42" s="721"/>
      <c r="C42" s="721"/>
      <c r="D42" s="721"/>
      <c r="E42" s="724"/>
      <c r="F42" s="724"/>
      <c r="G42" s="701"/>
    </row>
    <row r="43" spans="1:28" s="16" customFormat="1" ht="15.75" hidden="1">
      <c r="A43" s="725" t="s">
        <v>600</v>
      </c>
      <c r="B43" s="725"/>
      <c r="C43" s="725"/>
      <c r="D43" s="725"/>
      <c r="E43" s="726" t="s">
        <v>573</v>
      </c>
      <c r="F43" s="726"/>
      <c r="G43" s="710"/>
    </row>
    <row r="44" spans="1:28" s="16" customFormat="1" ht="15.75" hidden="1">
      <c r="A44" s="717"/>
      <c r="B44" s="717"/>
      <c r="C44" s="717"/>
      <c r="D44" s="717"/>
      <c r="E44" s="711"/>
      <c r="F44" s="711"/>
      <c r="G44" s="717"/>
    </row>
    <row r="45" spans="1:28" s="16" customFormat="1" ht="15.75" hidden="1">
      <c r="A45" s="727" t="s">
        <v>576</v>
      </c>
      <c r="B45" s="728"/>
      <c r="C45" s="728"/>
      <c r="D45" s="68"/>
      <c r="E45" s="729" t="s">
        <v>577</v>
      </c>
      <c r="F45" s="729"/>
      <c r="G45" s="729"/>
    </row>
    <row r="46" spans="1:28" s="16" customFormat="1" ht="18.75" customHeight="1">
      <c r="A46" s="1082"/>
      <c r="B46" s="1082"/>
      <c r="C46" s="71"/>
      <c r="D46" s="71"/>
    </row>
    <row r="48" spans="1:28" ht="15.75">
      <c r="A48" s="241"/>
    </row>
    <row r="49" spans="1:1" ht="15.75">
      <c r="A49" s="127"/>
    </row>
  </sheetData>
  <mergeCells count="8">
    <mergeCell ref="D1:E1"/>
    <mergeCell ref="D7:E7"/>
    <mergeCell ref="A46:B46"/>
    <mergeCell ref="A3:E3"/>
    <mergeCell ref="A4:E4"/>
    <mergeCell ref="D6:E6"/>
    <mergeCell ref="A34:B34"/>
    <mergeCell ref="A36:B36"/>
  </mergeCells>
  <pageMargins left="0.74803149606299213" right="0.35433070866141736" top="0.67" bottom="0.9842519685039370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18</vt:i4>
      </vt:variant>
    </vt:vector>
  </HeadingPairs>
  <TitlesOfParts>
    <vt:vector size="33" baseType="lpstr">
      <vt:lpstr>ведомость</vt:lpstr>
      <vt:lpstr>см1</vt:lpstr>
      <vt:lpstr>см2</vt:lpstr>
      <vt:lpstr>см3</vt:lpstr>
      <vt:lpstr>см 4</vt:lpstr>
      <vt:lpstr>см 5П</vt:lpstr>
      <vt:lpstr>АСУТП 1</vt:lpstr>
      <vt:lpstr>см 6</vt:lpstr>
      <vt:lpstr>см7</vt:lpstr>
      <vt:lpstr>см8</vt:lpstr>
      <vt:lpstr>см 8РД</vt:lpstr>
      <vt:lpstr>см 9</vt:lpstr>
      <vt:lpstr>см 10</vt:lpstr>
      <vt:lpstr>кал 1</vt:lpstr>
      <vt:lpstr>кал 2</vt:lpstr>
      <vt:lpstr>'см 4'!Заголовки_для_печати</vt:lpstr>
      <vt:lpstr>'см 5П'!Заголовки_для_печати</vt:lpstr>
      <vt:lpstr>'см 8РД'!Заголовки_для_печати</vt:lpstr>
      <vt:lpstr>см1!Заголовки_для_печати</vt:lpstr>
      <vt:lpstr>см2!Заголовки_для_печати</vt:lpstr>
      <vt:lpstr>см3!Заголовки_для_печати</vt:lpstr>
      <vt:lpstr>см8!Заголовки_для_печати</vt:lpstr>
      <vt:lpstr>ведомость!Область_печати</vt:lpstr>
      <vt:lpstr>'кал 1'!Область_печати</vt:lpstr>
      <vt:lpstr>'см 4'!Область_печати</vt:lpstr>
      <vt:lpstr>'см 5П'!Область_печати</vt:lpstr>
      <vt:lpstr>'см 6'!Область_печати</vt:lpstr>
      <vt:lpstr>'см 9'!Область_печати</vt:lpstr>
      <vt:lpstr>см1!Область_печати</vt:lpstr>
      <vt:lpstr>см2!Область_печати</vt:lpstr>
      <vt:lpstr>см3!Область_печати</vt:lpstr>
      <vt:lpstr>см7!Область_печати</vt:lpstr>
      <vt:lpstr>см8!Область_печати</vt:lpstr>
    </vt:vector>
  </TitlesOfParts>
  <Company>NVNIPIneft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OPOT01</dc:creator>
  <cp:lastModifiedBy>Дарья Юрьевна Семененко</cp:lastModifiedBy>
  <cp:lastPrinted>2015-03-24T03:46:58Z</cp:lastPrinted>
  <dcterms:created xsi:type="dcterms:W3CDTF">2007-07-04T03:17:28Z</dcterms:created>
  <dcterms:modified xsi:type="dcterms:W3CDTF">2015-03-24T04:51:52Z</dcterms:modified>
</cp:coreProperties>
</file>