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905" firstSheet="1" activeTab="1"/>
  </bookViews>
  <sheets>
    <sheet name="Справочник" sheetId="3" state="hidden" r:id="rId1"/>
    <sheet name="Порядок оценки" sheetId="54" r:id="rId2"/>
    <sheet name="Пример сравнительной оценки" sheetId="55" r:id="rId3"/>
    <sheet name="По методике ЯНОС" sheetId="56" r:id="rId4"/>
  </sheets>
  <externalReferences>
    <externalReference r:id="rId5"/>
    <externalReference r:id="rId6"/>
    <externalReference r:id="rId7"/>
    <externalReference r:id="rId8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3">#REF!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3">#REF!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'Порядок оценки'!$A$1:$G$32</definedName>
    <definedName name="ОЛ" localSheetId="3">#REF!</definedName>
    <definedName name="ОЛ" localSheetId="1">#REF!</definedName>
    <definedName name="ОЛ" localSheetId="2">#REF!</definedName>
    <definedName name="ОЛ">#REF!</definedName>
    <definedName name="ОЛФ" localSheetId="3">#REF!</definedName>
    <definedName name="ОЛФ" localSheetId="1">#REF!</definedName>
    <definedName name="ОЛФ" localSheetId="2">#REF!</definedName>
    <definedName name="ОЛФ">#REF!</definedName>
    <definedName name="Отдел" localSheetId="3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3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3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3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3">#REF!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татус_согласования_договора">Справочник!$E$2:$E$6</definedName>
    <definedName name="тип_сделки" localSheetId="3">#REF!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11" i="54"/>
  <c r="D10"/>
  <c r="D17" l="1"/>
  <c r="D24"/>
  <c r="D26" s="1"/>
  <c r="D25" l="1"/>
  <c r="D9" l="1"/>
  <c r="D13" l="1"/>
  <c r="D19" s="1"/>
  <c r="D15"/>
  <c r="C22" i="56"/>
  <c r="C17"/>
  <c r="C15"/>
  <c r="H16" s="1"/>
  <c r="C13"/>
  <c r="J14" s="1"/>
  <c r="C11"/>
  <c r="H12" s="1"/>
  <c r="C7"/>
  <c r="H7" s="1"/>
  <c r="C15" i="55"/>
  <c r="F7" i="56" l="1"/>
  <c r="J7"/>
  <c r="J8" s="1"/>
  <c r="J10" s="1"/>
  <c r="J12"/>
  <c r="H14"/>
  <c r="J16"/>
  <c r="F12"/>
  <c r="F14"/>
  <c r="F16"/>
  <c r="F8"/>
  <c r="F9" s="1"/>
  <c r="H8"/>
  <c r="C22" i="55"/>
  <c r="J22" s="1"/>
  <c r="J16"/>
  <c r="H16"/>
  <c r="F16"/>
  <c r="J23" l="1"/>
  <c r="J25" s="1"/>
  <c r="F22"/>
  <c r="H22"/>
  <c r="J26" i="56"/>
  <c r="J9"/>
  <c r="J18" s="1"/>
  <c r="J20" s="1"/>
  <c r="J27" s="1"/>
  <c r="H10"/>
  <c r="F10"/>
  <c r="F18" s="1"/>
  <c r="F20" s="1"/>
  <c r="H9"/>
  <c r="H23" i="55" l="1"/>
  <c r="H25" s="1"/>
  <c r="F23"/>
  <c r="F24" s="1"/>
  <c r="J24"/>
  <c r="J26" s="1"/>
  <c r="F26" i="56"/>
  <c r="F27" s="1"/>
  <c r="F29" s="1"/>
  <c r="H18"/>
  <c r="H20" s="1"/>
  <c r="H26"/>
  <c r="C17" i="55"/>
  <c r="C13"/>
  <c r="C11"/>
  <c r="C7"/>
  <c r="J7" l="1"/>
  <c r="F7"/>
  <c r="H7"/>
  <c r="H24"/>
  <c r="H26" s="1"/>
  <c r="J29" i="56"/>
  <c r="J17" i="55"/>
  <c r="H17"/>
  <c r="F17"/>
  <c r="F25"/>
  <c r="F26" s="1"/>
  <c r="H27" i="56"/>
  <c r="H29" s="1"/>
  <c r="J13" i="55"/>
  <c r="J14" s="1"/>
  <c r="H13"/>
  <c r="H14" s="1"/>
  <c r="F13"/>
  <c r="F14" s="1"/>
  <c r="F11"/>
  <c r="F12" s="1"/>
  <c r="J11"/>
  <c r="J12" s="1"/>
  <c r="H11"/>
  <c r="H12" s="1"/>
  <c r="F8" l="1"/>
  <c r="F10" s="1"/>
  <c r="H8"/>
  <c r="H10"/>
  <c r="J8"/>
  <c r="J10" s="1"/>
  <c r="F9" l="1"/>
  <c r="J9"/>
  <c r="H9"/>
  <c r="H18" s="1"/>
  <c r="F18" l="1"/>
  <c r="F20" s="1"/>
  <c r="F27" s="1"/>
  <c r="F28" s="1"/>
  <c r="J18"/>
  <c r="J20" s="1"/>
  <c r="J27" s="1"/>
  <c r="H20"/>
  <c r="H27" s="1"/>
  <c r="H28" l="1"/>
  <c r="J28"/>
</calcChain>
</file>

<file path=xl/sharedStrings.xml><?xml version="1.0" encoding="utf-8"?>
<sst xmlns="http://schemas.openxmlformats.org/spreadsheetml/2006/main" count="331" uniqueCount="165">
  <si>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</si>
  <si>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</si>
  <si>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</si>
  <si>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</si>
  <si>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</si>
  <si>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</si>
  <si>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</si>
  <si>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</si>
  <si>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</si>
  <si>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</si>
  <si>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</si>
  <si>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</si>
  <si>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</si>
  <si>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</si>
  <si>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</si>
  <si>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</si>
  <si>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</si>
  <si>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</si>
  <si>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</si>
  <si>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</si>
  <si>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</si>
  <si>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</si>
  <si>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</si>
  <si>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</si>
  <si>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</si>
  <si>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</si>
  <si>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</si>
  <si>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</si>
  <si>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</si>
  <si>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</si>
  <si>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</si>
  <si>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</si>
  <si>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</si>
  <si>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</si>
  <si>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</si>
  <si>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</si>
  <si>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</si>
  <si>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</si>
  <si>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</si>
  <si>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</si>
  <si>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</si>
  <si>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</si>
  <si>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</si>
  <si>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</si>
  <si>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</si>
  <si>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</si>
  <si>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</si>
  <si>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</si>
  <si>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</si>
  <si>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</si>
  <si>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</si>
  <si>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</si>
  <si>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</si>
  <si>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</si>
  <si>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</si>
  <si>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</si>
  <si>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</si>
  <si>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</si>
  <si>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</si>
  <si>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</si>
  <si>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№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</si>
  <si>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</si>
  <si>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</si>
  <si>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</si>
  <si>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</si>
  <si>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</si>
  <si>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</si>
  <si>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</si>
  <si>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</si>
  <si>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</si>
  <si>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сумма</t>
  </si>
  <si>
    <t>размер затрат</t>
  </si>
  <si>
    <t>Заработанная плата (ЗП), руб/мес.</t>
  </si>
  <si>
    <t>Кэффициент на стесненные условия (Кст)</t>
  </si>
  <si>
    <t>Накладные расходы (НР), %</t>
  </si>
  <si>
    <t>Сметная прибыль (СП), %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</si>
  <si>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</si>
  <si>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</si>
  <si>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</si>
  <si>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</si>
  <si>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</si>
  <si>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</si>
  <si>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</si>
  <si>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</si>
  <si>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</si>
  <si>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</si>
  <si>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</si>
  <si>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</si>
  <si>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</si>
  <si>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Оборудование поставки Подрядчика (ОБ)</t>
  </si>
  <si>
    <t>Транспортные расходы на ОБ (Ктр.об), %</t>
  </si>
  <si>
    <t>Дополнительные условия (при наличии)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</si>
  <si>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</si>
  <si>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</si>
  <si>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</si>
  <si>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</si>
  <si>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</si>
  <si>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</si>
  <si>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</si>
  <si>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</si>
  <si>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</si>
  <si>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</si>
  <si>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</si>
  <si>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</si>
  <si>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</si>
  <si>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</si>
  <si>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</si>
  <si>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ОБ</t>
  </si>
  <si>
    <t>ЭММ</t>
  </si>
  <si>
    <t>Кст.пнр</t>
  </si>
  <si>
    <t>НР пнр</t>
  </si>
  <si>
    <t>СП пнр</t>
  </si>
  <si>
    <t>**вес</t>
  </si>
  <si>
    <t>Стоимость работ на основании Регламента определения стоимости СМР</t>
  </si>
  <si>
    <t>Предложение претендента (оферта)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</si>
  <si>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</si>
  <si>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</si>
  <si>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</si>
  <si>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</si>
  <si>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</si>
  <si>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</si>
  <si>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Оферта 1</t>
  </si>
  <si>
    <t>Оферта 2</t>
  </si>
  <si>
    <t>Оферта 3</t>
  </si>
  <si>
    <t>Стоимость работ на основании Регламента определения стоимости ПНР</t>
  </si>
  <si>
    <t>Итого стоимость дополнительных работ</t>
  </si>
  <si>
    <t>Пример сравнительной оценки 3-х Регламентов определения стоимости СМР и ПНР на последующие работы</t>
  </si>
  <si>
    <t>Ориентировочная стоимость дополнительных работ по оценки Заказчика (не вошедших в объем закупки)</t>
  </si>
  <si>
    <t>МАТ-Зак в расчете не учитываются</t>
  </si>
  <si>
    <t>Цены указаны в тыс. руб. без НДС</t>
  </si>
  <si>
    <t>Разница Регламентов определения стоимости СМР и ПНР на последующие работы</t>
  </si>
  <si>
    <t>Разница</t>
  </si>
  <si>
    <t>ЗП, руб/мес</t>
  </si>
  <si>
    <t>∑ пп.2-3 * НР</t>
  </si>
  <si>
    <t>№ пп.</t>
  </si>
  <si>
    <t>∑ пп.2-3 * СП</t>
  </si>
  <si>
    <t>сумма, руб.</t>
  </si>
  <si>
    <t>ОБ * Ктр.об</t>
  </si>
  <si>
    <t>∑ пп. 2-14</t>
  </si>
  <si>
    <t>Заработная плата (ЗП), руб.</t>
  </si>
  <si>
    <t>ЗП пнр, руб/мес</t>
  </si>
  <si>
    <t>Кэффициент на стесненные условия (Кст.пнр)</t>
  </si>
  <si>
    <t>∑ пп.16-17 * НРпнр</t>
  </si>
  <si>
    <t>Накладные расходы (НРпнр), %</t>
  </si>
  <si>
    <t>Сметная прибыль (СП пнр), %</t>
  </si>
  <si>
    <t>∑ пп.16-17 * СП пнр</t>
  </si>
  <si>
    <t>∑ пп.16-19</t>
  </si>
  <si>
    <t>пп. 15 + 20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</si>
  <si>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</si>
  <si>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</si>
  <si>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Приложение №___________к ПДО</t>
  </si>
  <si>
    <r>
      <rPr>
        <sz val="11"/>
        <color theme="1"/>
        <rFont val="Times New Roman"/>
        <family val="1"/>
        <charset val="204"/>
      </rPr>
      <t xml:space="preserve">ЗП план * </t>
    </r>
    <r>
      <rPr>
        <u/>
        <sz val="11"/>
        <color theme="1"/>
        <rFont val="Times New Roman"/>
        <family val="1"/>
        <charset val="204"/>
      </rPr>
      <t xml:space="preserve">ЗП              
</t>
    </r>
    <r>
      <rPr>
        <sz val="11"/>
        <color theme="1"/>
        <rFont val="Times New Roman"/>
        <family val="1"/>
        <charset val="204"/>
      </rPr>
      <t xml:space="preserve">                 ЗП (оценка заказчика)</t>
    </r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</si>
  <si>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          
</t>
    </r>
    <r>
      <rPr>
        <sz val="11"/>
        <color theme="1"/>
        <rFont val="Times New Roman"/>
        <family val="1"/>
        <charset val="204"/>
      </rPr>
      <t xml:space="preserve">                        ЗП пнр (оценка заказчика)</t>
    </r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</si>
  <si>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</si>
  <si>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</si>
  <si>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удельный вес от ст-ти работ по опциону</t>
  </si>
  <si>
    <t>Ориентировочная стоимость дополнительных работ по оценке Заказчика, не вошедших в объем закупки (опцион)</t>
  </si>
  <si>
    <t>Комплекс работ по техперевооружению цеха №13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</si>
  <si>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</si>
  <si>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</si>
  <si>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</si>
  <si>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для данной методики принимается средний процент НР по видам работ ТМ, электрика, КИП = 77%, СП по видам работ ТМ, электрика, КИП = 49 %</t>
  </si>
  <si>
    <t>* - при условии указания претендентом в Регламенте на доп.работы накладных расходов и см.прибыли - "по видам работ"</t>
  </si>
  <si>
    <t>Накладные расходы (НР)  *</t>
  </si>
  <si>
    <t>Сметная прибыль (СП)  *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</si>
</sst>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"/>
    <numFmt numFmtId="169" formatCode="0.000%"/>
  </numFmts>
  <fonts count="35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i/>
      <sz val="11"/>
      <name val="Arial"/>
      <family val="2"/>
      <charset val="204"/>
    </font>
    <font>
      <i/>
      <sz val="11"/>
      <color rgb="FFFF0000"/>
      <name val="Arial"/>
      <family val="2"/>
      <charset val="204"/>
    </font>
    <font>
      <sz val="10"/>
      <name val="Helv"/>
      <charset val="204"/>
    </font>
    <font>
      <b/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2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3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23" fillId="0" borderId="0"/>
  </cellStyleXfs>
  <cellXfs count="176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19" fillId="0" borderId="0" xfId="33" applyFont="1"/>
    <xf numFmtId="0" fontId="19" fillId="5" borderId="11" xfId="33" applyFont="1" applyFill="1" applyBorder="1" applyAlignment="1">
      <alignment horizontal="center" vertical="center" wrapText="1"/>
    </xf>
    <xf numFmtId="0" fontId="20" fillId="5" borderId="11" xfId="33" applyFont="1" applyFill="1" applyBorder="1" applyAlignment="1">
      <alignment horizontal="center" vertical="center" wrapText="1"/>
    </xf>
    <xf numFmtId="3" fontId="19" fillId="5" borderId="24" xfId="33" applyNumberFormat="1" applyFont="1" applyFill="1" applyBorder="1" applyAlignment="1">
      <alignment horizontal="center" vertical="center" wrapText="1"/>
    </xf>
    <xf numFmtId="3" fontId="19" fillId="0" borderId="14" xfId="33" applyNumberFormat="1" applyFont="1" applyFill="1" applyBorder="1" applyAlignment="1">
      <alignment horizontal="center" vertical="center" wrapText="1"/>
    </xf>
    <xf numFmtId="0" fontId="20" fillId="4" borderId="5" xfId="33" applyFont="1" applyFill="1" applyBorder="1" applyAlignment="1">
      <alignment horizontal="center" vertical="center" wrapText="1"/>
    </xf>
    <xf numFmtId="3" fontId="20" fillId="4" borderId="6" xfId="33" applyNumberFormat="1" applyFont="1" applyFill="1" applyBorder="1" applyAlignment="1">
      <alignment horizontal="center" vertical="center" wrapText="1"/>
    </xf>
    <xf numFmtId="49" fontId="19" fillId="0" borderId="8" xfId="33" applyNumberFormat="1" applyFont="1" applyBorder="1" applyAlignment="1">
      <alignment horizontal="center" vertical="center" wrapText="1"/>
    </xf>
    <xf numFmtId="3" fontId="20" fillId="0" borderId="8" xfId="33" applyNumberFormat="1" applyFont="1" applyFill="1" applyBorder="1" applyAlignment="1">
      <alignment horizontal="center" vertical="center" wrapText="1"/>
    </xf>
    <xf numFmtId="49" fontId="19" fillId="0" borderId="10" xfId="33" applyNumberFormat="1" applyFont="1" applyBorder="1" applyAlignment="1">
      <alignment horizontal="center" vertical="center" wrapText="1"/>
    </xf>
    <xf numFmtId="4" fontId="20" fillId="0" borderId="10" xfId="33" applyNumberFormat="1" applyFont="1" applyFill="1" applyBorder="1" applyAlignment="1">
      <alignment horizontal="center" vertical="center" wrapText="1"/>
    </xf>
    <xf numFmtId="3" fontId="19" fillId="0" borderId="15" xfId="33" applyNumberFormat="1" applyFont="1" applyFill="1" applyBorder="1" applyAlignment="1">
      <alignment horizontal="center" vertical="center" wrapText="1"/>
    </xf>
    <xf numFmtId="3" fontId="20" fillId="0" borderId="10" xfId="33" applyNumberFormat="1" applyFont="1" applyFill="1" applyBorder="1" applyAlignment="1">
      <alignment horizontal="center" vertical="center" wrapText="1"/>
    </xf>
    <xf numFmtId="3" fontId="20" fillId="0" borderId="15" xfId="33" applyNumberFormat="1" applyFont="1" applyFill="1" applyBorder="1" applyAlignment="1">
      <alignment horizontal="center" vertical="center" wrapText="1"/>
    </xf>
    <xf numFmtId="49" fontId="19" fillId="0" borderId="21" xfId="33" applyNumberFormat="1" applyFont="1" applyBorder="1" applyAlignment="1">
      <alignment horizontal="center" vertical="center" wrapText="1"/>
    </xf>
    <xf numFmtId="168" fontId="20" fillId="0" borderId="21" xfId="33" applyNumberFormat="1" applyFont="1" applyFill="1" applyBorder="1" applyAlignment="1">
      <alignment horizontal="center" vertical="center" wrapText="1"/>
    </xf>
    <xf numFmtId="168" fontId="19" fillId="0" borderId="23" xfId="33" applyNumberFormat="1" applyFont="1" applyFill="1" applyBorder="1" applyAlignment="1">
      <alignment horizontal="center" vertical="center" wrapText="1"/>
    </xf>
    <xf numFmtId="49" fontId="20" fillId="5" borderId="11" xfId="33" applyNumberFormat="1" applyFont="1" applyFill="1" applyBorder="1" applyAlignment="1">
      <alignment horizontal="center" vertical="center" wrapText="1"/>
    </xf>
    <xf numFmtId="3" fontId="20" fillId="5" borderId="11" xfId="33" applyNumberFormat="1" applyFont="1" applyFill="1" applyBorder="1" applyAlignment="1">
      <alignment horizontal="center" vertical="center" wrapText="1"/>
    </xf>
    <xf numFmtId="3" fontId="20" fillId="5" borderId="24" xfId="33" applyNumberFormat="1" applyFont="1" applyFill="1" applyBorder="1" applyAlignment="1">
      <alignment horizontal="center" vertical="center" wrapText="1"/>
    </xf>
    <xf numFmtId="0" fontId="19" fillId="4" borderId="5" xfId="33" applyFont="1" applyFill="1" applyBorder="1" applyAlignment="1">
      <alignment horizontal="center" vertical="center" wrapText="1"/>
    </xf>
    <xf numFmtId="9" fontId="20" fillId="0" borderId="10" xfId="33" applyNumberFormat="1" applyFont="1" applyFill="1" applyBorder="1" applyAlignment="1">
      <alignment horizontal="center" vertical="center" wrapText="1"/>
    </xf>
    <xf numFmtId="0" fontId="20" fillId="6" borderId="11" xfId="33" applyFont="1" applyFill="1" applyBorder="1" applyAlignment="1">
      <alignment horizontal="center" vertical="center" wrapText="1"/>
    </xf>
    <xf numFmtId="49" fontId="19" fillId="4" borderId="26" xfId="33" applyNumberFormat="1" applyFont="1" applyFill="1" applyBorder="1" applyAlignment="1">
      <alignment horizontal="center" vertical="center" wrapText="1"/>
    </xf>
    <xf numFmtId="0" fontId="20" fillId="4" borderId="26" xfId="33" applyFont="1" applyFill="1" applyBorder="1" applyAlignment="1">
      <alignment horizontal="center" vertical="center" wrapText="1"/>
    </xf>
    <xf numFmtId="3" fontId="20" fillId="4" borderId="27" xfId="33" applyNumberFormat="1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0" fillId="3" borderId="27" xfId="33" applyFont="1" applyFill="1" applyBorder="1" applyAlignment="1">
      <alignment horizontal="center" vertical="center" wrapText="1"/>
    </xf>
    <xf numFmtId="0" fontId="24" fillId="4" borderId="30" xfId="33" applyFont="1" applyFill="1" applyBorder="1" applyAlignment="1">
      <alignment horizontal="center" vertical="center" wrapText="1"/>
    </xf>
    <xf numFmtId="0" fontId="19" fillId="0" borderId="17" xfId="33" applyFont="1" applyBorder="1" applyAlignment="1">
      <alignment horizontal="left" vertical="center" wrapText="1"/>
    </xf>
    <xf numFmtId="0" fontId="19" fillId="0" borderId="3" xfId="33" applyFont="1" applyBorder="1" applyAlignment="1">
      <alignment horizontal="left" vertical="center" wrapText="1"/>
    </xf>
    <xf numFmtId="0" fontId="19" fillId="0" borderId="22" xfId="33" applyFont="1" applyBorder="1" applyAlignment="1">
      <alignment horizontal="left" vertical="center" wrapText="1"/>
    </xf>
    <xf numFmtId="0" fontId="20" fillId="5" borderId="20" xfId="33" applyFont="1" applyFill="1" applyBorder="1" applyAlignment="1">
      <alignment horizontal="left" vertical="center" wrapText="1"/>
    </xf>
    <xf numFmtId="0" fontId="24" fillId="4" borderId="19" xfId="33" applyFont="1" applyFill="1" applyBorder="1" applyAlignment="1">
      <alignment horizontal="center" vertical="center" wrapText="1"/>
    </xf>
    <xf numFmtId="0" fontId="19" fillId="5" borderId="20" xfId="33" applyFont="1" applyFill="1" applyBorder="1" applyAlignment="1">
      <alignment horizontal="left" vertical="center" wrapText="1"/>
    </xf>
    <xf numFmtId="0" fontId="19" fillId="3" borderId="5" xfId="33" applyFont="1" applyFill="1" applyBorder="1" applyAlignment="1">
      <alignment horizontal="center" vertical="center" wrapText="1"/>
    </xf>
    <xf numFmtId="0" fontId="19" fillId="3" borderId="6" xfId="33" applyFont="1" applyFill="1" applyBorder="1" applyAlignment="1">
      <alignment horizontal="center" vertical="center" wrapText="1"/>
    </xf>
    <xf numFmtId="3" fontId="19" fillId="4" borderId="26" xfId="33" applyNumberFormat="1" applyFont="1" applyFill="1" applyBorder="1" applyAlignment="1">
      <alignment horizontal="center" vertical="center" wrapText="1"/>
    </xf>
    <xf numFmtId="0" fontId="19" fillId="4" borderId="27" xfId="33" applyFont="1" applyFill="1" applyBorder="1" applyAlignment="1">
      <alignment horizontal="center" vertical="center" wrapText="1"/>
    </xf>
    <xf numFmtId="9" fontId="21" fillId="0" borderId="9" xfId="33" applyNumberFormat="1" applyFont="1" applyBorder="1" applyAlignment="1">
      <alignment horizontal="center" vertical="center" wrapText="1"/>
    </xf>
    <xf numFmtId="3" fontId="22" fillId="0" borderId="10" xfId="33" applyNumberFormat="1" applyFont="1" applyBorder="1" applyAlignment="1">
      <alignment horizontal="center" vertical="center" wrapText="1"/>
    </xf>
    <xf numFmtId="9" fontId="21" fillId="0" borderId="7" xfId="33" applyNumberFormat="1" applyFont="1" applyBorder="1" applyAlignment="1">
      <alignment horizontal="center" vertical="center" wrapText="1"/>
    </xf>
    <xf numFmtId="3" fontId="20" fillId="0" borderId="10" xfId="33" applyNumberFormat="1" applyFont="1" applyBorder="1" applyAlignment="1">
      <alignment horizontal="center" vertical="center" wrapText="1"/>
    </xf>
    <xf numFmtId="165" fontId="22" fillId="0" borderId="7" xfId="33" applyNumberFormat="1" applyFont="1" applyBorder="1" applyAlignment="1">
      <alignment horizontal="center" vertical="center" wrapText="1"/>
    </xf>
    <xf numFmtId="3" fontId="20" fillId="0" borderId="21" xfId="33" applyNumberFormat="1" applyFont="1" applyBorder="1" applyAlignment="1">
      <alignment horizontal="center" vertical="center" wrapText="1"/>
    </xf>
    <xf numFmtId="165" fontId="22" fillId="0" borderId="25" xfId="33" applyNumberFormat="1" applyFont="1" applyBorder="1" applyAlignment="1">
      <alignment horizontal="center" vertical="center" wrapText="1"/>
    </xf>
    <xf numFmtId="0" fontId="20" fillId="5" borderId="12" xfId="33" applyFont="1" applyFill="1" applyBorder="1" applyAlignment="1">
      <alignment horizontal="center" vertical="center" wrapText="1"/>
    </xf>
    <xf numFmtId="3" fontId="19" fillId="4" borderId="5" xfId="33" applyNumberFormat="1" applyFont="1" applyFill="1" applyBorder="1" applyAlignment="1">
      <alignment horizontal="center" vertical="center" wrapText="1"/>
    </xf>
    <xf numFmtId="0" fontId="19" fillId="4" borderId="6" xfId="33" applyFont="1" applyFill="1" applyBorder="1" applyAlignment="1">
      <alignment horizontal="center" vertical="center" wrapText="1"/>
    </xf>
    <xf numFmtId="3" fontId="22" fillId="0" borderId="21" xfId="33" applyNumberFormat="1" applyFont="1" applyBorder="1" applyAlignment="1">
      <alignment horizontal="center" vertical="center" wrapText="1"/>
    </xf>
    <xf numFmtId="9" fontId="21" fillId="0" borderId="25" xfId="33" applyNumberFormat="1" applyFont="1" applyBorder="1" applyAlignment="1">
      <alignment horizontal="center" vertical="center" wrapText="1"/>
    </xf>
    <xf numFmtId="3" fontId="19" fillId="5" borderId="11" xfId="33" applyNumberFormat="1" applyFont="1" applyFill="1" applyBorder="1" applyAlignment="1">
      <alignment horizontal="center" vertical="center" wrapText="1"/>
    </xf>
    <xf numFmtId="0" fontId="19" fillId="5" borderId="12" xfId="33" applyFont="1" applyFill="1" applyBorder="1" applyAlignment="1">
      <alignment horizontal="center" vertical="center" wrapText="1"/>
    </xf>
    <xf numFmtId="0" fontId="12" fillId="0" borderId="0" xfId="33" applyFont="1"/>
    <xf numFmtId="9" fontId="20" fillId="0" borderId="7" xfId="33" applyNumberFormat="1" applyFont="1" applyBorder="1" applyAlignment="1">
      <alignment horizontal="center" vertical="center" wrapText="1"/>
    </xf>
    <xf numFmtId="10" fontId="20" fillId="0" borderId="10" xfId="33" applyNumberFormat="1" applyFont="1" applyFill="1" applyBorder="1" applyAlignment="1">
      <alignment horizontal="center" vertical="center" wrapText="1"/>
    </xf>
    <xf numFmtId="0" fontId="19" fillId="6" borderId="11" xfId="33" applyFont="1" applyFill="1" applyBorder="1" applyAlignment="1">
      <alignment horizontal="center" vertical="center" wrapText="1"/>
    </xf>
    <xf numFmtId="0" fontId="19" fillId="6" borderId="20" xfId="33" applyFont="1" applyFill="1" applyBorder="1" applyAlignment="1">
      <alignment horizontal="left" vertical="center" wrapText="1"/>
    </xf>
    <xf numFmtId="3" fontId="19" fillId="6" borderId="11" xfId="33" applyNumberFormat="1" applyFont="1" applyFill="1" applyBorder="1" applyAlignment="1">
      <alignment horizontal="center" vertical="center" wrapText="1"/>
    </xf>
    <xf numFmtId="0" fontId="19" fillId="6" borderId="12" xfId="33" applyFont="1" applyFill="1" applyBorder="1" applyAlignment="1">
      <alignment horizontal="center" vertical="center" wrapText="1"/>
    </xf>
    <xf numFmtId="3" fontId="24" fillId="6" borderId="24" xfId="33" applyNumberFormat="1" applyFont="1" applyFill="1" applyBorder="1" applyAlignment="1">
      <alignment horizontal="center" vertical="center" wrapText="1"/>
    </xf>
    <xf numFmtId="0" fontId="10" fillId="6" borderId="11" xfId="33" applyFont="1" applyFill="1" applyBorder="1" applyAlignment="1">
      <alignment horizontal="center" vertical="center" wrapText="1"/>
    </xf>
    <xf numFmtId="0" fontId="19" fillId="3" borderId="5" xfId="33" applyFont="1" applyFill="1" applyBorder="1" applyAlignment="1">
      <alignment horizontal="center" vertical="center" wrapText="1"/>
    </xf>
    <xf numFmtId="169" fontId="21" fillId="0" borderId="9" xfId="33" applyNumberFormat="1" applyFont="1" applyBorder="1" applyAlignment="1">
      <alignment horizontal="center" vertical="center" wrapText="1"/>
    </xf>
    <xf numFmtId="3" fontId="20" fillId="7" borderId="10" xfId="33" applyNumberFormat="1" applyFont="1" applyFill="1" applyBorder="1" applyAlignment="1">
      <alignment horizontal="center" vertical="center" wrapText="1"/>
    </xf>
    <xf numFmtId="3" fontId="20" fillId="7" borderId="15" xfId="33" applyNumberFormat="1" applyFont="1" applyFill="1" applyBorder="1" applyAlignment="1">
      <alignment horizontal="center" vertical="center" wrapText="1"/>
    </xf>
    <xf numFmtId="3" fontId="20" fillId="7" borderId="8" xfId="33" applyNumberFormat="1" applyFont="1" applyFill="1" applyBorder="1" applyAlignment="1">
      <alignment horizontal="center" vertical="center" wrapText="1"/>
    </xf>
    <xf numFmtId="3" fontId="19" fillId="7" borderId="14" xfId="33" applyNumberFormat="1" applyFont="1" applyFill="1" applyBorder="1" applyAlignment="1">
      <alignment horizontal="center" vertical="center" wrapText="1"/>
    </xf>
    <xf numFmtId="4" fontId="20" fillId="7" borderId="10" xfId="33" applyNumberFormat="1" applyFont="1" applyFill="1" applyBorder="1" applyAlignment="1">
      <alignment horizontal="center" vertical="center" wrapText="1"/>
    </xf>
    <xf numFmtId="3" fontId="19" fillId="7" borderId="15" xfId="33" applyNumberFormat="1" applyFont="1" applyFill="1" applyBorder="1" applyAlignment="1">
      <alignment horizontal="center" vertical="center" wrapText="1"/>
    </xf>
    <xf numFmtId="9" fontId="20" fillId="7" borderId="10" xfId="33" applyNumberFormat="1" applyFont="1" applyFill="1" applyBorder="1" applyAlignment="1">
      <alignment horizontal="center" vertical="center" wrapText="1"/>
    </xf>
    <xf numFmtId="3" fontId="26" fillId="0" borderId="0" xfId="33" applyNumberFormat="1" applyFont="1" applyAlignment="1">
      <alignment horizontal="center" vertical="center"/>
    </xf>
    <xf numFmtId="0" fontId="26" fillId="0" borderId="0" xfId="33" applyFont="1" applyAlignment="1">
      <alignment horizontal="center" vertical="center"/>
    </xf>
    <xf numFmtId="0" fontId="27" fillId="0" borderId="0" xfId="33" applyFont="1"/>
    <xf numFmtId="0" fontId="28" fillId="0" borderId="0" xfId="33" applyFont="1" applyBorder="1" applyAlignment="1">
      <alignment horizontal="center" vertical="center" wrapText="1"/>
    </xf>
    <xf numFmtId="0" fontId="27" fillId="3" borderId="5" xfId="33" applyFont="1" applyFill="1" applyBorder="1" applyAlignment="1">
      <alignment horizontal="center" vertical="center" wrapText="1"/>
    </xf>
    <xf numFmtId="0" fontId="27" fillId="3" borderId="6" xfId="33" applyFont="1" applyFill="1" applyBorder="1" applyAlignment="1">
      <alignment horizontal="center" vertical="center" wrapText="1"/>
    </xf>
    <xf numFmtId="0" fontId="31" fillId="3" borderId="26" xfId="33" applyFont="1" applyFill="1" applyBorder="1" applyAlignment="1">
      <alignment horizontal="center" vertical="center" wrapText="1"/>
    </xf>
    <xf numFmtId="0" fontId="31" fillId="3" borderId="27" xfId="33" applyFont="1" applyFill="1" applyBorder="1" applyAlignment="1">
      <alignment horizontal="center" vertical="center" wrapText="1"/>
    </xf>
    <xf numFmtId="49" fontId="31" fillId="5" borderId="11" xfId="33" applyNumberFormat="1" applyFont="1" applyFill="1" applyBorder="1" applyAlignment="1">
      <alignment horizontal="center" vertical="center" wrapText="1"/>
    </xf>
    <xf numFmtId="0" fontId="31" fillId="5" borderId="20" xfId="33" applyFont="1" applyFill="1" applyBorder="1" applyAlignment="1">
      <alignment horizontal="left" vertical="center" wrapText="1"/>
    </xf>
    <xf numFmtId="3" fontId="31" fillId="5" borderId="11" xfId="33" applyNumberFormat="1" applyFont="1" applyFill="1" applyBorder="1" applyAlignment="1">
      <alignment horizontal="center" vertical="center" wrapText="1"/>
    </xf>
    <xf numFmtId="0" fontId="31" fillId="5" borderId="12" xfId="33" applyFont="1" applyFill="1" applyBorder="1" applyAlignment="1">
      <alignment horizontal="center" vertical="center" wrapText="1"/>
    </xf>
    <xf numFmtId="0" fontId="31" fillId="5" borderId="11" xfId="33" applyFont="1" applyFill="1" applyBorder="1" applyAlignment="1">
      <alignment horizontal="center" vertical="center" wrapText="1"/>
    </xf>
    <xf numFmtId="3" fontId="31" fillId="5" borderId="24" xfId="33" applyNumberFormat="1" applyFont="1" applyFill="1" applyBorder="1" applyAlignment="1">
      <alignment horizontal="center" vertical="center" wrapText="1"/>
    </xf>
    <xf numFmtId="49" fontId="27" fillId="4" borderId="26" xfId="33" applyNumberFormat="1" applyFont="1" applyFill="1" applyBorder="1" applyAlignment="1">
      <alignment horizontal="center" vertical="center" wrapText="1"/>
    </xf>
    <xf numFmtId="0" fontId="28" fillId="4" borderId="30" xfId="33" applyFont="1" applyFill="1" applyBorder="1" applyAlignment="1">
      <alignment horizontal="center" vertical="center" wrapText="1"/>
    </xf>
    <xf numFmtId="3" fontId="27" fillId="4" borderId="26" xfId="33" applyNumberFormat="1" applyFont="1" applyFill="1" applyBorder="1" applyAlignment="1">
      <alignment horizontal="center" vertical="center" wrapText="1"/>
    </xf>
    <xf numFmtId="0" fontId="27" fillId="4" borderId="27" xfId="33" applyFont="1" applyFill="1" applyBorder="1" applyAlignment="1">
      <alignment horizontal="center" vertical="center" wrapText="1"/>
    </xf>
    <xf numFmtId="0" fontId="31" fillId="4" borderId="26" xfId="33" applyFont="1" applyFill="1" applyBorder="1" applyAlignment="1">
      <alignment horizontal="center" vertical="center" wrapText="1"/>
    </xf>
    <xf numFmtId="3" fontId="31" fillId="4" borderId="27" xfId="33" applyNumberFormat="1" applyFont="1" applyFill="1" applyBorder="1" applyAlignment="1">
      <alignment horizontal="center" vertical="center" wrapText="1"/>
    </xf>
    <xf numFmtId="49" fontId="27" fillId="0" borderId="8" xfId="33" applyNumberFormat="1" applyFont="1" applyBorder="1" applyAlignment="1">
      <alignment horizontal="center" vertical="center" wrapText="1"/>
    </xf>
    <xf numFmtId="0" fontId="27" fillId="0" borderId="17" xfId="33" applyFont="1" applyBorder="1" applyAlignment="1">
      <alignment horizontal="left" vertical="center" wrapText="1"/>
    </xf>
    <xf numFmtId="3" fontId="31" fillId="0" borderId="8" xfId="33" applyNumberFormat="1" applyFont="1" applyFill="1" applyBorder="1" applyAlignment="1">
      <alignment horizontal="center" vertical="center" wrapText="1"/>
    </xf>
    <xf numFmtId="3" fontId="32" fillId="0" borderId="14" xfId="33" applyNumberFormat="1" applyFont="1" applyFill="1" applyBorder="1" applyAlignment="1">
      <alignment horizontal="left" vertical="center" wrapText="1"/>
    </xf>
    <xf numFmtId="49" fontId="27" fillId="0" borderId="10" xfId="33" applyNumberFormat="1" applyFont="1" applyBorder="1" applyAlignment="1">
      <alignment horizontal="center" vertical="center" wrapText="1"/>
    </xf>
    <xf numFmtId="0" fontId="27" fillId="0" borderId="3" xfId="33" applyFont="1" applyBorder="1" applyAlignment="1">
      <alignment horizontal="left" vertical="center" wrapText="1"/>
    </xf>
    <xf numFmtId="4" fontId="31" fillId="0" borderId="10" xfId="33" applyNumberFormat="1" applyFont="1" applyFill="1" applyBorder="1" applyAlignment="1">
      <alignment horizontal="center" vertical="center" wrapText="1"/>
    </xf>
    <xf numFmtId="3" fontId="27" fillId="0" borderId="15" xfId="33" applyNumberFormat="1" applyFont="1" applyFill="1" applyBorder="1" applyAlignment="1">
      <alignment horizontal="center" vertical="center" wrapText="1"/>
    </xf>
    <xf numFmtId="3" fontId="31" fillId="0" borderId="10" xfId="33" applyNumberFormat="1" applyFont="1" applyFill="1" applyBorder="1" applyAlignment="1">
      <alignment horizontal="center" vertical="center" wrapText="1"/>
    </xf>
    <xf numFmtId="9" fontId="31" fillId="0" borderId="10" xfId="33" applyNumberFormat="1" applyFont="1" applyFill="1" applyBorder="1" applyAlignment="1">
      <alignment horizontal="center" vertical="center" wrapText="1"/>
    </xf>
    <xf numFmtId="3" fontId="31" fillId="0" borderId="15" xfId="33" applyNumberFormat="1" applyFont="1" applyFill="1" applyBorder="1" applyAlignment="1">
      <alignment horizontal="center" vertical="center" wrapText="1"/>
    </xf>
    <xf numFmtId="49" fontId="27" fillId="0" borderId="21" xfId="33" applyNumberFormat="1" applyFont="1" applyBorder="1" applyAlignment="1">
      <alignment horizontal="center" vertical="center" wrapText="1"/>
    </xf>
    <xf numFmtId="0" fontId="27" fillId="0" borderId="22" xfId="33" applyFont="1" applyBorder="1" applyAlignment="1">
      <alignment horizontal="left" vertical="center" wrapText="1"/>
    </xf>
    <xf numFmtId="168" fontId="31" fillId="0" borderId="21" xfId="33" applyNumberFormat="1" applyFont="1" applyFill="1" applyBorder="1" applyAlignment="1">
      <alignment horizontal="center" vertical="center" wrapText="1"/>
    </xf>
    <xf numFmtId="168" fontId="27" fillId="0" borderId="23" xfId="33" applyNumberFormat="1" applyFont="1" applyFill="1" applyBorder="1" applyAlignment="1">
      <alignment horizontal="center" vertical="center" wrapText="1"/>
    </xf>
    <xf numFmtId="0" fontId="27" fillId="4" borderId="5" xfId="33" applyFont="1" applyFill="1" applyBorder="1" applyAlignment="1">
      <alignment horizontal="center" vertical="center" wrapText="1"/>
    </xf>
    <xf numFmtId="0" fontId="28" fillId="4" borderId="19" xfId="33" applyFont="1" applyFill="1" applyBorder="1" applyAlignment="1">
      <alignment horizontal="center" vertical="center" wrapText="1"/>
    </xf>
    <xf numFmtId="0" fontId="31" fillId="4" borderId="5" xfId="33" applyFont="1" applyFill="1" applyBorder="1" applyAlignment="1">
      <alignment horizontal="center" vertical="center" wrapText="1"/>
    </xf>
    <xf numFmtId="3" fontId="31" fillId="4" borderId="6" xfId="33" applyNumberFormat="1" applyFont="1" applyFill="1" applyBorder="1" applyAlignment="1">
      <alignment horizontal="center" vertical="center" wrapText="1"/>
    </xf>
    <xf numFmtId="0" fontId="27" fillId="5" borderId="11" xfId="33" applyFont="1" applyFill="1" applyBorder="1" applyAlignment="1">
      <alignment horizontal="center" vertical="center" wrapText="1"/>
    </xf>
    <xf numFmtId="0" fontId="27" fillId="5" borderId="20" xfId="33" applyFont="1" applyFill="1" applyBorder="1" applyAlignment="1">
      <alignment horizontal="left" vertical="center" wrapText="1"/>
    </xf>
    <xf numFmtId="3" fontId="27" fillId="5" borderId="11" xfId="33" applyNumberFormat="1" applyFont="1" applyFill="1" applyBorder="1" applyAlignment="1">
      <alignment horizontal="center" vertical="center" wrapText="1"/>
    </xf>
    <xf numFmtId="0" fontId="27" fillId="5" borderId="12" xfId="33" applyFont="1" applyFill="1" applyBorder="1" applyAlignment="1">
      <alignment horizontal="center" vertical="center" wrapText="1"/>
    </xf>
    <xf numFmtId="3" fontId="27" fillId="5" borderId="24" xfId="33" applyNumberFormat="1" applyFont="1" applyFill="1" applyBorder="1" applyAlignment="1">
      <alignment horizontal="center" vertical="center" wrapText="1"/>
    </xf>
    <xf numFmtId="0" fontId="27" fillId="8" borderId="11" xfId="33" applyFont="1" applyFill="1" applyBorder="1" applyAlignment="1">
      <alignment horizontal="center" vertical="center" wrapText="1"/>
    </xf>
    <xf numFmtId="0" fontId="27" fillId="8" borderId="20" xfId="33" applyFont="1" applyFill="1" applyBorder="1" applyAlignment="1">
      <alignment horizontal="left" vertical="center" wrapText="1"/>
    </xf>
    <xf numFmtId="3" fontId="27" fillId="8" borderId="11" xfId="33" applyNumberFormat="1" applyFont="1" applyFill="1" applyBorder="1" applyAlignment="1">
      <alignment horizontal="center" vertical="center" wrapText="1"/>
    </xf>
    <xf numFmtId="0" fontId="27" fillId="8" borderId="12" xfId="33" applyFont="1" applyFill="1" applyBorder="1" applyAlignment="1">
      <alignment horizontal="center" vertical="center" wrapText="1"/>
    </xf>
    <xf numFmtId="0" fontId="31" fillId="8" borderId="11" xfId="33" applyFont="1" applyFill="1" applyBorder="1" applyAlignment="1">
      <alignment horizontal="center" vertical="center" wrapText="1"/>
    </xf>
    <xf numFmtId="3" fontId="27" fillId="8" borderId="24" xfId="33" applyNumberFormat="1" applyFont="1" applyFill="1" applyBorder="1" applyAlignment="1">
      <alignment horizontal="center" vertical="center" wrapText="1"/>
    </xf>
    <xf numFmtId="0" fontId="27" fillId="0" borderId="0" xfId="33" applyFont="1" applyBorder="1"/>
    <xf numFmtId="0" fontId="27" fillId="0" borderId="3" xfId="33" applyFont="1" applyFill="1" applyBorder="1" applyAlignment="1">
      <alignment horizontal="left" vertical="center" wrapText="1"/>
    </xf>
    <xf numFmtId="49" fontId="27" fillId="0" borderId="10" xfId="33" applyNumberFormat="1" applyFont="1" applyFill="1" applyBorder="1" applyAlignment="1">
      <alignment horizontal="center" vertical="center" wrapText="1"/>
    </xf>
    <xf numFmtId="0" fontId="27" fillId="0" borderId="0" xfId="33" applyFont="1" applyFill="1"/>
    <xf numFmtId="9" fontId="33" fillId="0" borderId="9" xfId="33" applyNumberFormat="1" applyFont="1" applyFill="1" applyBorder="1" applyAlignment="1">
      <alignment horizontal="center" vertical="center" wrapText="1"/>
    </xf>
    <xf numFmtId="9" fontId="33" fillId="0" borderId="7" xfId="33" applyNumberFormat="1" applyFont="1" applyFill="1" applyBorder="1" applyAlignment="1">
      <alignment horizontal="center" vertical="center" wrapText="1"/>
    </xf>
    <xf numFmtId="9" fontId="33" fillId="0" borderId="25" xfId="33" applyNumberFormat="1" applyFont="1" applyFill="1" applyBorder="1" applyAlignment="1">
      <alignment horizontal="center" vertical="center" wrapText="1"/>
    </xf>
    <xf numFmtId="9" fontId="34" fillId="0" borderId="12" xfId="33" applyNumberFormat="1" applyFont="1" applyFill="1" applyBorder="1" applyAlignment="1">
      <alignment horizontal="center" vertical="center" wrapText="1"/>
    </xf>
    <xf numFmtId="9" fontId="34" fillId="0" borderId="6" xfId="33" applyNumberFormat="1" applyFont="1" applyFill="1" applyBorder="1" applyAlignment="1">
      <alignment horizontal="center" vertical="center" wrapText="1"/>
    </xf>
    <xf numFmtId="3" fontId="34" fillId="0" borderId="10" xfId="33" applyNumberFormat="1" applyFont="1" applyBorder="1" applyAlignment="1">
      <alignment horizontal="center" vertical="center" wrapText="1"/>
    </xf>
    <xf numFmtId="3" fontId="34" fillId="0" borderId="10" xfId="33" applyNumberFormat="1" applyFont="1" applyFill="1" applyBorder="1" applyAlignment="1">
      <alignment horizontal="center" vertical="center" wrapText="1"/>
    </xf>
    <xf numFmtId="3" fontId="34" fillId="0" borderId="8" xfId="33" applyNumberFormat="1" applyFont="1" applyFill="1" applyBorder="1" applyAlignment="1">
      <alignment horizontal="center" vertical="center" wrapText="1"/>
    </xf>
    <xf numFmtId="3" fontId="34" fillId="0" borderId="21" xfId="33" applyNumberFormat="1" applyFont="1" applyBorder="1" applyAlignment="1">
      <alignment horizontal="center" vertical="center" wrapText="1"/>
    </xf>
    <xf numFmtId="3" fontId="34" fillId="5" borderId="11" xfId="33" applyNumberFormat="1" applyFont="1" applyFill="1" applyBorder="1" applyAlignment="1">
      <alignment horizontal="center" vertical="center" wrapText="1"/>
    </xf>
    <xf numFmtId="3" fontId="34" fillId="4" borderId="5" xfId="33" applyNumberFormat="1" applyFont="1" applyFill="1" applyBorder="1" applyAlignment="1">
      <alignment horizontal="center" vertical="center" wrapText="1"/>
    </xf>
    <xf numFmtId="9" fontId="27" fillId="5" borderId="12" xfId="33" applyNumberFormat="1" applyFont="1" applyFill="1" applyBorder="1" applyAlignment="1">
      <alignment horizontal="center" vertical="center" wrapText="1"/>
    </xf>
    <xf numFmtId="0" fontId="28" fillId="0" borderId="0" xfId="33" applyFont="1" applyBorder="1" applyAlignment="1">
      <alignment horizontal="center" vertical="center" wrapText="1"/>
    </xf>
    <xf numFmtId="0" fontId="29" fillId="0" borderId="0" xfId="0" applyFont="1" applyBorder="1" applyAlignment="1">
      <alignment horizontal="center" vertical="center" wrapText="1"/>
    </xf>
    <xf numFmtId="0" fontId="27" fillId="3" borderId="4" xfId="33" applyFont="1" applyFill="1" applyBorder="1" applyAlignment="1">
      <alignment horizontal="center" vertical="center" wrapText="1"/>
    </xf>
    <xf numFmtId="0" fontId="27" fillId="3" borderId="5" xfId="33" applyFont="1" applyFill="1" applyBorder="1" applyAlignment="1">
      <alignment horizontal="center" vertical="center" wrapText="1"/>
    </xf>
    <xf numFmtId="0" fontId="27" fillId="3" borderId="18" xfId="33" applyFont="1" applyFill="1" applyBorder="1" applyAlignment="1">
      <alignment horizontal="center" vertical="center" wrapText="1"/>
    </xf>
    <xf numFmtId="0" fontId="27" fillId="3" borderId="19" xfId="33" applyFont="1" applyFill="1" applyBorder="1" applyAlignment="1">
      <alignment horizontal="center" vertical="center" wrapText="1"/>
    </xf>
    <xf numFmtId="0" fontId="27" fillId="3" borderId="28" xfId="33" applyFont="1" applyFill="1" applyBorder="1" applyAlignment="1">
      <alignment horizontal="center" vertical="center" wrapText="1"/>
    </xf>
    <xf numFmtId="0" fontId="31" fillId="3" borderId="31" xfId="33" applyFont="1" applyFill="1" applyBorder="1" applyAlignment="1">
      <alignment horizontal="center" vertical="center" wrapText="1"/>
    </xf>
    <xf numFmtId="0" fontId="31" fillId="3" borderId="16" xfId="33" applyFont="1" applyFill="1" applyBorder="1" applyAlignment="1">
      <alignment horizontal="center" vertical="center" wrapText="1"/>
    </xf>
    <xf numFmtId="0" fontId="30" fillId="0" borderId="29" xfId="0" applyFont="1" applyBorder="1" applyAlignment="1">
      <alignment horizontal="left" vertical="center" wrapText="1"/>
    </xf>
    <xf numFmtId="0" fontId="24" fillId="0" borderId="0" xfId="33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5" fillId="0" borderId="29" xfId="33" applyFont="1" applyBorder="1" applyAlignment="1">
      <alignment horizontal="left" wrapText="1"/>
    </xf>
    <xf numFmtId="0" fontId="3" fillId="0" borderId="29" xfId="0" applyFont="1" applyBorder="1" applyAlignment="1">
      <alignment horizontal="left"/>
    </xf>
    <xf numFmtId="0" fontId="20" fillId="3" borderId="31" xfId="33" applyFont="1" applyFill="1" applyBorder="1" applyAlignment="1">
      <alignment horizontal="center" vertical="center" wrapText="1"/>
    </xf>
    <xf numFmtId="0" fontId="20" fillId="3" borderId="16" xfId="33" applyFont="1" applyFill="1" applyBorder="1" applyAlignment="1">
      <alignment horizontal="center" vertical="center" wrapText="1"/>
    </xf>
    <xf numFmtId="0" fontId="19" fillId="3" borderId="4" xfId="33" applyFont="1" applyFill="1" applyBorder="1" applyAlignment="1">
      <alignment horizontal="center" vertical="center" wrapText="1"/>
    </xf>
    <xf numFmtId="0" fontId="19" fillId="3" borderId="5" xfId="33" applyFont="1" applyFill="1" applyBorder="1" applyAlignment="1">
      <alignment horizontal="center" vertical="center" wrapText="1"/>
    </xf>
    <xf numFmtId="0" fontId="19" fillId="3" borderId="18" xfId="33" applyFont="1" applyFill="1" applyBorder="1" applyAlignment="1">
      <alignment horizontal="center" vertical="center" wrapText="1"/>
    </xf>
    <xf numFmtId="0" fontId="19" fillId="3" borderId="19" xfId="33" applyFont="1" applyFill="1" applyBorder="1" applyAlignment="1">
      <alignment horizontal="center" vertical="center" wrapText="1"/>
    </xf>
    <xf numFmtId="0" fontId="19" fillId="3" borderId="28" xfId="33" applyFont="1" applyFill="1" applyBorder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4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sharedStrings" Target="sharedStrings.xml"/><Relationship Id="rId5" Type="http://schemas.openxmlformats.org/officeDocument/2006/relationships/externalLink" Target="externalLinks/externalLink1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6"/>
  <sheetViews>
    <sheetView tabSelected="1" workbookViewId="0">
      <selection activeCell="G12" sqref="G12"/>
    </sheetView>
  </sheetViews>
  <sheetFormatPr defaultRowHeight="15"/>
  <cols>
    <col min="1" max="1" width="5" style="90" customWidth="1"/>
    <col min="2" max="2" width="53.28515625" style="90" customWidth="1"/>
    <col min="3" max="3" width="17.5703125" style="90" customWidth="1"/>
    <col min="4" max="4" width="16.140625" style="90" customWidth="1"/>
    <col min="5" max="5" width="16.7109375" style="90" customWidth="1"/>
    <col min="6" max="6" width="38.42578125" style="90" customWidth="1"/>
    <col min="7" max="16384" width="9.140625" style="90"/>
  </cols>
  <sheetData>
    <row r="1" spans="1:6" ht="23.25" customHeight="1">
      <c r="F1" s="90" t="s">
        <v>150</v>
      </c>
    </row>
    <row r="2" spans="1:6" ht="36.75" customHeight="1">
      <c r="A2" s="154" t="s">
        <v>153</v>
      </c>
      <c r="B2" s="155"/>
      <c r="C2" s="155"/>
      <c r="D2" s="155"/>
      <c r="E2" s="155"/>
      <c r="F2" s="155"/>
    </row>
    <row r="3" spans="1:6" ht="26.25" customHeight="1" thickBot="1">
      <c r="A3" s="91"/>
      <c r="B3" s="163" t="s">
        <v>157</v>
      </c>
      <c r="C3" s="163"/>
      <c r="D3" s="163"/>
      <c r="E3" s="163"/>
      <c r="F3" s="163"/>
    </row>
    <row r="4" spans="1:6" ht="21.75" customHeight="1">
      <c r="A4" s="156" t="s">
        <v>134</v>
      </c>
      <c r="B4" s="158" t="s">
        <v>68</v>
      </c>
      <c r="C4" s="156" t="s">
        <v>69</v>
      </c>
      <c r="D4" s="160"/>
      <c r="E4" s="161" t="s">
        <v>114</v>
      </c>
      <c r="F4" s="162"/>
    </row>
    <row r="5" spans="1:6" ht="50.25" customHeight="1" thickBot="1">
      <c r="A5" s="157"/>
      <c r="B5" s="159"/>
      <c r="C5" s="92" t="s">
        <v>154</v>
      </c>
      <c r="D5" s="93" t="s">
        <v>155</v>
      </c>
      <c r="E5" s="94" t="s">
        <v>158</v>
      </c>
      <c r="F5" s="95" t="s">
        <v>136</v>
      </c>
    </row>
    <row r="6" spans="1:6" ht="38.25" customHeight="1" thickBot="1">
      <c r="A6" s="96" t="s">
        <v>106</v>
      </c>
      <c r="B6" s="97" t="s">
        <v>156</v>
      </c>
      <c r="C6" s="98" t="s">
        <v>117</v>
      </c>
      <c r="D6" s="99"/>
      <c r="E6" s="100" t="s">
        <v>97</v>
      </c>
      <c r="F6" s="101" t="s">
        <v>97</v>
      </c>
    </row>
    <row r="7" spans="1:6" ht="15.75" thickBot="1">
      <c r="A7" s="102"/>
      <c r="B7" s="103" t="s">
        <v>95</v>
      </c>
      <c r="C7" s="104"/>
      <c r="D7" s="105"/>
      <c r="E7" s="106"/>
      <c r="F7" s="107"/>
    </row>
    <row r="8" spans="1:6" ht="30">
      <c r="A8" s="108" t="s">
        <v>61</v>
      </c>
      <c r="B8" s="109" t="s">
        <v>139</v>
      </c>
      <c r="C8" s="149"/>
      <c r="D8" s="142">
        <v>0.12</v>
      </c>
      <c r="E8" s="110" t="s">
        <v>132</v>
      </c>
      <c r="F8" s="111" t="s">
        <v>151</v>
      </c>
    </row>
    <row r="9" spans="1:6">
      <c r="A9" s="112" t="s">
        <v>62</v>
      </c>
      <c r="B9" s="113" t="s">
        <v>73</v>
      </c>
      <c r="C9" s="147"/>
      <c r="D9" s="142">
        <f>D8*0.15</f>
        <v>1.7999999999999999E-2</v>
      </c>
      <c r="E9" s="114" t="s">
        <v>103</v>
      </c>
      <c r="F9" s="115" t="s">
        <v>115</v>
      </c>
    </row>
    <row r="10" spans="1:6" s="141" customFormat="1" ht="15.75" customHeight="1">
      <c r="A10" s="140" t="s">
        <v>63</v>
      </c>
      <c r="B10" s="139" t="s">
        <v>163</v>
      </c>
      <c r="C10" s="148"/>
      <c r="D10" s="143">
        <f>(D8+D9)*(0.68+0.94+0.68)/3</f>
        <v>0.10580000000000001</v>
      </c>
      <c r="E10" s="116" t="s">
        <v>104</v>
      </c>
      <c r="F10" s="115" t="s">
        <v>133</v>
      </c>
    </row>
    <row r="11" spans="1:6" s="141" customFormat="1" ht="15.75" customHeight="1">
      <c r="A11" s="140" t="s">
        <v>64</v>
      </c>
      <c r="B11" s="139" t="s">
        <v>164</v>
      </c>
      <c r="C11" s="148"/>
      <c r="D11" s="143">
        <f>(D8+D9)*(0.48+0.52+0.48)/3</f>
        <v>6.8079999999999988E-2</v>
      </c>
      <c r="E11" s="116" t="s">
        <v>105</v>
      </c>
      <c r="F11" s="115" t="s">
        <v>135</v>
      </c>
    </row>
    <row r="12" spans="1:6" ht="19.5" customHeight="1">
      <c r="A12" s="112" t="s">
        <v>65</v>
      </c>
      <c r="B12" s="113" t="s">
        <v>86</v>
      </c>
      <c r="C12" s="148"/>
      <c r="D12" s="143">
        <v>0.44</v>
      </c>
      <c r="E12" s="116" t="s">
        <v>97</v>
      </c>
      <c r="F12" s="115" t="s">
        <v>102</v>
      </c>
    </row>
    <row r="13" spans="1:6">
      <c r="A13" s="112" t="s">
        <v>66</v>
      </c>
      <c r="B13" s="113" t="s">
        <v>87</v>
      </c>
      <c r="C13" s="148"/>
      <c r="D13" s="143">
        <f>0.12*D12</f>
        <v>5.28E-2</v>
      </c>
      <c r="E13" s="117" t="s">
        <v>101</v>
      </c>
      <c r="F13" s="118" t="s">
        <v>88</v>
      </c>
    </row>
    <row r="14" spans="1:6" ht="16.5" customHeight="1">
      <c r="A14" s="112" t="s">
        <v>67</v>
      </c>
      <c r="B14" s="113" t="s">
        <v>89</v>
      </c>
      <c r="C14" s="148"/>
      <c r="D14" s="143">
        <v>0</v>
      </c>
      <c r="E14" s="116" t="s">
        <v>97</v>
      </c>
      <c r="F14" s="115" t="s">
        <v>107</v>
      </c>
    </row>
    <row r="15" spans="1:6">
      <c r="A15" s="112" t="s">
        <v>77</v>
      </c>
      <c r="B15" s="113" t="s">
        <v>90</v>
      </c>
      <c r="C15" s="148"/>
      <c r="D15" s="143">
        <f>0.02*D14</f>
        <v>0</v>
      </c>
      <c r="E15" s="117" t="s">
        <v>100</v>
      </c>
      <c r="F15" s="118" t="s">
        <v>137</v>
      </c>
    </row>
    <row r="16" spans="1:6" ht="18.75" customHeight="1">
      <c r="A16" s="112" t="s">
        <v>79</v>
      </c>
      <c r="B16" s="113" t="s">
        <v>118</v>
      </c>
      <c r="C16" s="148"/>
      <c r="D16" s="143">
        <v>0</v>
      </c>
      <c r="E16" s="116" t="s">
        <v>97</v>
      </c>
      <c r="F16" s="118" t="s">
        <v>128</v>
      </c>
    </row>
    <row r="17" spans="1:6" ht="18.75" customHeight="1">
      <c r="A17" s="112" t="s">
        <v>80</v>
      </c>
      <c r="B17" s="113" t="s">
        <v>119</v>
      </c>
      <c r="C17" s="148"/>
      <c r="D17" s="143">
        <f>0.03*D16</f>
        <v>0</v>
      </c>
      <c r="E17" s="117" t="s">
        <v>99</v>
      </c>
      <c r="F17" s="118" t="s">
        <v>120</v>
      </c>
    </row>
    <row r="18" spans="1:6">
      <c r="A18" s="112" t="s">
        <v>81</v>
      </c>
      <c r="B18" s="113" t="s">
        <v>76</v>
      </c>
      <c r="C18" s="148"/>
      <c r="D18" s="143">
        <v>0.11</v>
      </c>
      <c r="E18" s="116" t="s">
        <v>97</v>
      </c>
      <c r="F18" s="115" t="s">
        <v>108</v>
      </c>
    </row>
    <row r="19" spans="1:6">
      <c r="A19" s="112" t="s">
        <v>82</v>
      </c>
      <c r="B19" s="113" t="s">
        <v>78</v>
      </c>
      <c r="C19" s="147"/>
      <c r="D19" s="143">
        <f>(D8+D9+D12+D13+D16+D17+D18)*0.0308</f>
        <v>2.2816639999999999E-2</v>
      </c>
      <c r="E19" s="114" t="s">
        <v>98</v>
      </c>
      <c r="F19" s="115" t="s">
        <v>159</v>
      </c>
    </row>
    <row r="20" spans="1:6" ht="15.75" thickBot="1">
      <c r="A20" s="119" t="s">
        <v>83</v>
      </c>
      <c r="B20" s="120" t="s">
        <v>91</v>
      </c>
      <c r="C20" s="150"/>
      <c r="D20" s="144"/>
      <c r="E20" s="121"/>
      <c r="F20" s="122"/>
    </row>
    <row r="21" spans="1:6" ht="33" customHeight="1" thickBot="1">
      <c r="A21" s="96" t="s">
        <v>84</v>
      </c>
      <c r="B21" s="97" t="s">
        <v>113</v>
      </c>
      <c r="C21" s="151"/>
      <c r="D21" s="145"/>
      <c r="E21" s="100"/>
      <c r="F21" s="101" t="s">
        <v>138</v>
      </c>
    </row>
    <row r="22" spans="1:6" ht="21.75" customHeight="1" thickBot="1">
      <c r="A22" s="123"/>
      <c r="B22" s="124" t="s">
        <v>96</v>
      </c>
      <c r="C22" s="152"/>
      <c r="D22" s="146"/>
      <c r="E22" s="125"/>
      <c r="F22" s="126"/>
    </row>
    <row r="23" spans="1:6" ht="29.25" customHeight="1">
      <c r="A23" s="108" t="s">
        <v>92</v>
      </c>
      <c r="B23" s="109" t="s">
        <v>139</v>
      </c>
      <c r="C23" s="149"/>
      <c r="D23" s="142">
        <v>0.03</v>
      </c>
      <c r="E23" s="110" t="s">
        <v>140</v>
      </c>
      <c r="F23" s="111" t="s">
        <v>152</v>
      </c>
    </row>
    <row r="24" spans="1:6">
      <c r="A24" s="112" t="s">
        <v>93</v>
      </c>
      <c r="B24" s="113" t="s">
        <v>141</v>
      </c>
      <c r="C24" s="147"/>
      <c r="D24" s="143">
        <f>D23*0.15</f>
        <v>4.4999999999999997E-3</v>
      </c>
      <c r="E24" s="114" t="s">
        <v>109</v>
      </c>
      <c r="F24" s="115" t="s">
        <v>116</v>
      </c>
    </row>
    <row r="25" spans="1:6">
      <c r="A25" s="112" t="s">
        <v>85</v>
      </c>
      <c r="B25" s="113" t="s">
        <v>143</v>
      </c>
      <c r="C25" s="148"/>
      <c r="D25" s="143">
        <f>(D23+D24)*0.5525</f>
        <v>1.9061249999999998E-2</v>
      </c>
      <c r="E25" s="116" t="s">
        <v>110</v>
      </c>
      <c r="F25" s="115" t="s">
        <v>142</v>
      </c>
    </row>
    <row r="26" spans="1:6" ht="15.75" thickBot="1">
      <c r="A26" s="119" t="s">
        <v>94</v>
      </c>
      <c r="B26" s="120" t="s">
        <v>144</v>
      </c>
      <c r="C26" s="148"/>
      <c r="D26" s="144">
        <f>(D23+D24)*0.32</f>
        <v>1.1039999999999999E-2</v>
      </c>
      <c r="E26" s="116" t="s">
        <v>111</v>
      </c>
      <c r="F26" s="115" t="s">
        <v>145</v>
      </c>
    </row>
    <row r="27" spans="1:6" ht="30.75" thickBot="1">
      <c r="A27" s="127">
        <v>20</v>
      </c>
      <c r="B27" s="128" t="s">
        <v>124</v>
      </c>
      <c r="C27" s="129"/>
      <c r="D27" s="130"/>
      <c r="E27" s="100"/>
      <c r="F27" s="101" t="s">
        <v>146</v>
      </c>
    </row>
    <row r="28" spans="1:6" ht="19.5" customHeight="1" thickBot="1">
      <c r="A28" s="127">
        <v>21</v>
      </c>
      <c r="B28" s="128" t="s">
        <v>160</v>
      </c>
      <c r="C28" s="129" t="s">
        <v>117</v>
      </c>
      <c r="D28" s="153">
        <v>1</v>
      </c>
      <c r="E28" s="100"/>
      <c r="F28" s="131" t="s">
        <v>147</v>
      </c>
    </row>
    <row r="29" spans="1:6" ht="33.75" customHeight="1" thickBot="1">
      <c r="A29" s="132">
        <v>22</v>
      </c>
      <c r="B29" s="133" t="s">
        <v>149</v>
      </c>
      <c r="C29" s="134">
        <v>0</v>
      </c>
      <c r="D29" s="135"/>
      <c r="E29" s="136"/>
      <c r="F29" s="137" t="s">
        <v>148</v>
      </c>
    </row>
    <row r="30" spans="1:6" ht="17.25" customHeight="1"/>
    <row r="31" spans="1:6" ht="18" customHeight="1">
      <c r="B31" s="90" t="s">
        <v>162</v>
      </c>
    </row>
    <row r="32" spans="1:6">
      <c r="B32" s="90" t="s">
        <v>161</v>
      </c>
    </row>
    <row r="36" spans="2:7" s="138" customFormat="1">
      <c r="B36" s="154"/>
      <c r="C36" s="155"/>
      <c r="D36" s="155"/>
      <c r="E36" s="155"/>
      <c r="F36" s="155"/>
      <c r="G36" s="155"/>
    </row>
  </sheetData>
  <mergeCells count="7">
    <mergeCell ref="B36:G36"/>
    <mergeCell ref="A2:F2"/>
    <mergeCell ref="A4:A5"/>
    <mergeCell ref="B4:B5"/>
    <mergeCell ref="C4:D4"/>
    <mergeCell ref="E4:F4"/>
    <mergeCell ref="B3:F3"/>
  </mergeCells>
  <pageMargins left="0.4" right="0.31496062992125984" top="0.31496062992125984" bottom="0.35433070866141736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topLeftCell="A18" zoomScale="115" zoomScaleNormal="115" workbookViewId="0">
      <selection activeCell="M9" sqref="M9"/>
    </sheetView>
  </sheetViews>
  <sheetFormatPr defaultRowHeight="15"/>
  <cols>
    <col min="1" max="1" width="5.7109375" style="16" customWidth="1"/>
    <col min="2" max="2" width="53.5703125" style="16" customWidth="1"/>
    <col min="3" max="3" width="11.140625" style="16" customWidth="1"/>
    <col min="4" max="4" width="7.140625" style="16" customWidth="1"/>
    <col min="5" max="5" width="9.5703125" style="16" customWidth="1"/>
    <col min="6" max="6" width="13" style="16" customWidth="1"/>
    <col min="7" max="7" width="9" style="16" customWidth="1"/>
    <col min="8" max="8" width="12.28515625" style="16" customWidth="1"/>
    <col min="9" max="9" width="10.140625" style="16" customWidth="1"/>
    <col min="10" max="10" width="12.7109375" style="16" customWidth="1"/>
    <col min="11" max="16384" width="9.140625" style="16"/>
  </cols>
  <sheetData>
    <row r="1" spans="1:10" s="70" customFormat="1" ht="21" customHeight="1">
      <c r="A1" s="164" t="s">
        <v>126</v>
      </c>
      <c r="B1" s="165"/>
      <c r="C1" s="165"/>
      <c r="D1" s="165"/>
      <c r="E1" s="165"/>
      <c r="F1" s="165"/>
      <c r="G1" s="166"/>
      <c r="H1" s="166"/>
      <c r="I1" s="166"/>
      <c r="J1" s="166"/>
    </row>
    <row r="2" spans="1:10" s="70" customFormat="1" ht="15.75" customHeight="1" thickBot="1">
      <c r="A2" s="167" t="s">
        <v>129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>
      <c r="A3" s="171" t="s">
        <v>60</v>
      </c>
      <c r="B3" s="173" t="s">
        <v>68</v>
      </c>
      <c r="C3" s="171" t="s">
        <v>69</v>
      </c>
      <c r="D3" s="175"/>
      <c r="E3" s="169" t="s">
        <v>121</v>
      </c>
      <c r="F3" s="170"/>
      <c r="G3" s="169" t="s">
        <v>122</v>
      </c>
      <c r="H3" s="170"/>
      <c r="I3" s="169" t="s">
        <v>123</v>
      </c>
      <c r="J3" s="170"/>
    </row>
    <row r="4" spans="1:10" ht="25.5" customHeight="1" thickBot="1">
      <c r="A4" s="172"/>
      <c r="B4" s="174"/>
      <c r="C4" s="52" t="s">
        <v>70</v>
      </c>
      <c r="D4" s="53" t="s">
        <v>112</v>
      </c>
      <c r="E4" s="43" t="s">
        <v>71</v>
      </c>
      <c r="F4" s="44" t="s">
        <v>70</v>
      </c>
      <c r="G4" s="43" t="s">
        <v>71</v>
      </c>
      <c r="H4" s="44" t="s">
        <v>70</v>
      </c>
      <c r="I4" s="43" t="s">
        <v>71</v>
      </c>
      <c r="J4" s="44" t="s">
        <v>70</v>
      </c>
    </row>
    <row r="5" spans="1:10" ht="29.25" customHeight="1" thickBot="1">
      <c r="A5" s="34" t="s">
        <v>106</v>
      </c>
      <c r="B5" s="49" t="s">
        <v>127</v>
      </c>
      <c r="C5" s="35">
        <v>2200000</v>
      </c>
      <c r="D5" s="63"/>
      <c r="E5" s="19" t="s">
        <v>97</v>
      </c>
      <c r="F5" s="36" t="s">
        <v>97</v>
      </c>
      <c r="G5" s="19" t="s">
        <v>97</v>
      </c>
      <c r="H5" s="36" t="s">
        <v>97</v>
      </c>
      <c r="I5" s="19" t="s">
        <v>97</v>
      </c>
      <c r="J5" s="36" t="s">
        <v>97</v>
      </c>
    </row>
    <row r="6" spans="1:10" ht="15.75" thickBot="1">
      <c r="A6" s="40"/>
      <c r="B6" s="45" t="s">
        <v>95</v>
      </c>
      <c r="C6" s="54"/>
      <c r="D6" s="55"/>
      <c r="E6" s="41"/>
      <c r="F6" s="42"/>
      <c r="G6" s="41"/>
      <c r="H6" s="42"/>
      <c r="I6" s="41"/>
      <c r="J6" s="42"/>
    </row>
    <row r="7" spans="1:10">
      <c r="A7" s="24" t="s">
        <v>61</v>
      </c>
      <c r="B7" s="46" t="s">
        <v>72</v>
      </c>
      <c r="C7" s="25">
        <f>$C$5*D7</f>
        <v>396000</v>
      </c>
      <c r="D7" s="56">
        <v>0.18</v>
      </c>
      <c r="E7" s="25">
        <v>23000</v>
      </c>
      <c r="F7" s="21">
        <f>$C$7*E7/23000</f>
        <v>396000</v>
      </c>
      <c r="G7" s="25">
        <v>24000</v>
      </c>
      <c r="H7" s="21">
        <f>$C$7*G7/23000</f>
        <v>413217.39130434784</v>
      </c>
      <c r="I7" s="25">
        <v>25000</v>
      </c>
      <c r="J7" s="21">
        <f>$C$7*I7/23000</f>
        <v>430434.78260869568</v>
      </c>
    </row>
    <row r="8" spans="1:10">
      <c r="A8" s="26" t="s">
        <v>62</v>
      </c>
      <c r="B8" s="47" t="s">
        <v>73</v>
      </c>
      <c r="C8" s="57"/>
      <c r="D8" s="58"/>
      <c r="E8" s="27">
        <v>1.1499999999999999</v>
      </c>
      <c r="F8" s="28">
        <f>F7*(E8-1)</f>
        <v>59399.999999999964</v>
      </c>
      <c r="G8" s="27">
        <v>1.1499999999999999</v>
      </c>
      <c r="H8" s="28">
        <f>H7*(G8-1)</f>
        <v>61982.608695652139</v>
      </c>
      <c r="I8" s="27">
        <v>1.1499999999999999</v>
      </c>
      <c r="J8" s="28">
        <f>J7*(I8-1)</f>
        <v>64565.217391304315</v>
      </c>
    </row>
    <row r="9" spans="1:10">
      <c r="A9" s="26" t="s">
        <v>63</v>
      </c>
      <c r="B9" s="47" t="s">
        <v>74</v>
      </c>
      <c r="C9" s="57"/>
      <c r="D9" s="58"/>
      <c r="E9" s="38">
        <v>0.9</v>
      </c>
      <c r="F9" s="28">
        <f>(F7+F8)*E9</f>
        <v>409859.99999999994</v>
      </c>
      <c r="G9" s="38">
        <v>0.95</v>
      </c>
      <c r="H9" s="28">
        <f>(H7+H8)*G9</f>
        <v>451440</v>
      </c>
      <c r="I9" s="38">
        <v>0.9</v>
      </c>
      <c r="J9" s="28">
        <f>(J7+J8)*I9</f>
        <v>445500</v>
      </c>
    </row>
    <row r="10" spans="1:10">
      <c r="A10" s="26" t="s">
        <v>64</v>
      </c>
      <c r="B10" s="47" t="s">
        <v>75</v>
      </c>
      <c r="C10" s="57"/>
      <c r="D10" s="58"/>
      <c r="E10" s="38">
        <v>0.52</v>
      </c>
      <c r="F10" s="28">
        <f>(F7+F8)*E10</f>
        <v>236807.99999999997</v>
      </c>
      <c r="G10" s="38">
        <v>0.65</v>
      </c>
      <c r="H10" s="28">
        <f>(H7+H8)*G10</f>
        <v>308880</v>
      </c>
      <c r="I10" s="38">
        <v>0.52</v>
      </c>
      <c r="J10" s="28">
        <f>(J7+J8)*I10</f>
        <v>257400</v>
      </c>
    </row>
    <row r="11" spans="1:10">
      <c r="A11" s="26" t="s">
        <v>65</v>
      </c>
      <c r="B11" s="47" t="s">
        <v>86</v>
      </c>
      <c r="C11" s="25">
        <f>$C$5*D11</f>
        <v>660000</v>
      </c>
      <c r="D11" s="58">
        <v>0.3</v>
      </c>
      <c r="E11" s="29" t="s">
        <v>97</v>
      </c>
      <c r="F11" s="28">
        <f>C11</f>
        <v>660000</v>
      </c>
      <c r="G11" s="29" t="s">
        <v>97</v>
      </c>
      <c r="H11" s="28">
        <f>C11</f>
        <v>660000</v>
      </c>
      <c r="I11" s="29" t="s">
        <v>97</v>
      </c>
      <c r="J11" s="28">
        <f>C11</f>
        <v>660000</v>
      </c>
    </row>
    <row r="12" spans="1:10">
      <c r="A12" s="26" t="s">
        <v>66</v>
      </c>
      <c r="B12" s="47" t="s">
        <v>87</v>
      </c>
      <c r="C12" s="29"/>
      <c r="D12" s="58"/>
      <c r="E12" s="38">
        <v>0.12</v>
      </c>
      <c r="F12" s="30">
        <f>F11*E12</f>
        <v>79200</v>
      </c>
      <c r="G12" s="38">
        <v>0.12</v>
      </c>
      <c r="H12" s="30">
        <f>H11*G12</f>
        <v>79200</v>
      </c>
      <c r="I12" s="38">
        <v>0.12</v>
      </c>
      <c r="J12" s="30">
        <f>J11*I12</f>
        <v>79200</v>
      </c>
    </row>
    <row r="13" spans="1:10">
      <c r="A13" s="26" t="s">
        <v>67</v>
      </c>
      <c r="B13" s="47" t="s">
        <v>89</v>
      </c>
      <c r="C13" s="25">
        <f>$C$5*D13</f>
        <v>220000</v>
      </c>
      <c r="D13" s="58">
        <v>0.1</v>
      </c>
      <c r="E13" s="29" t="s">
        <v>97</v>
      </c>
      <c r="F13" s="28">
        <f>C13</f>
        <v>220000</v>
      </c>
      <c r="G13" s="29" t="s">
        <v>97</v>
      </c>
      <c r="H13" s="28">
        <f>C13</f>
        <v>220000</v>
      </c>
      <c r="I13" s="29" t="s">
        <v>97</v>
      </c>
      <c r="J13" s="28">
        <f>C13</f>
        <v>220000</v>
      </c>
    </row>
    <row r="14" spans="1:10">
      <c r="A14" s="26" t="s">
        <v>77</v>
      </c>
      <c r="B14" s="47" t="s">
        <v>90</v>
      </c>
      <c r="C14" s="29"/>
      <c r="D14" s="58"/>
      <c r="E14" s="38">
        <v>0.02</v>
      </c>
      <c r="F14" s="30">
        <f>F13*E14</f>
        <v>4400</v>
      </c>
      <c r="G14" s="38">
        <v>0.02</v>
      </c>
      <c r="H14" s="30">
        <f>H13*G14</f>
        <v>4400</v>
      </c>
      <c r="I14" s="38">
        <v>0.02</v>
      </c>
      <c r="J14" s="30">
        <f>J13*I14</f>
        <v>4400</v>
      </c>
    </row>
    <row r="15" spans="1:10">
      <c r="A15" s="26" t="s">
        <v>79</v>
      </c>
      <c r="B15" s="47" t="s">
        <v>118</v>
      </c>
      <c r="C15" s="25">
        <f>$C$5*D15</f>
        <v>660000</v>
      </c>
      <c r="D15" s="71">
        <v>0.3</v>
      </c>
      <c r="E15" s="29" t="s">
        <v>97</v>
      </c>
      <c r="F15" s="30" t="s">
        <v>97</v>
      </c>
      <c r="G15" s="29" t="s">
        <v>97</v>
      </c>
      <c r="H15" s="30" t="s">
        <v>97</v>
      </c>
      <c r="I15" s="29" t="s">
        <v>97</v>
      </c>
      <c r="J15" s="30" t="s">
        <v>97</v>
      </c>
    </row>
    <row r="16" spans="1:10">
      <c r="A16" s="26" t="s">
        <v>80</v>
      </c>
      <c r="B16" s="47" t="s">
        <v>119</v>
      </c>
      <c r="C16" s="29"/>
      <c r="D16" s="58"/>
      <c r="E16" s="38">
        <v>0.03</v>
      </c>
      <c r="F16" s="30">
        <f>$C$15*E16</f>
        <v>19800</v>
      </c>
      <c r="G16" s="38">
        <v>0.05</v>
      </c>
      <c r="H16" s="30">
        <f>$C$15*G16</f>
        <v>33000</v>
      </c>
      <c r="I16" s="38">
        <v>0.05</v>
      </c>
      <c r="J16" s="30">
        <f>$C$15*I16</f>
        <v>33000</v>
      </c>
    </row>
    <row r="17" spans="1:10">
      <c r="A17" s="26" t="s">
        <v>81</v>
      </c>
      <c r="B17" s="47" t="s">
        <v>76</v>
      </c>
      <c r="C17" s="25">
        <f>$C$5*D17</f>
        <v>220000</v>
      </c>
      <c r="D17" s="58">
        <v>0.1</v>
      </c>
      <c r="E17" s="29" t="s">
        <v>97</v>
      </c>
      <c r="F17" s="28">
        <f>C17</f>
        <v>220000</v>
      </c>
      <c r="G17" s="29" t="s">
        <v>97</v>
      </c>
      <c r="H17" s="28">
        <f>C17</f>
        <v>220000</v>
      </c>
      <c r="I17" s="29" t="s">
        <v>97</v>
      </c>
      <c r="J17" s="28">
        <f>C17</f>
        <v>220000</v>
      </c>
    </row>
    <row r="18" spans="1:10">
      <c r="A18" s="26" t="s">
        <v>82</v>
      </c>
      <c r="B18" s="47" t="s">
        <v>78</v>
      </c>
      <c r="C18" s="59"/>
      <c r="D18" s="60"/>
      <c r="E18" s="72">
        <v>3.0800000000000001E-2</v>
      </c>
      <c r="F18" s="28">
        <f>SUM(F7:F17)*E18</f>
        <v>71008.414400000009</v>
      </c>
      <c r="G18" s="72">
        <v>3.0800000000000001E-2</v>
      </c>
      <c r="H18" s="28">
        <f>SUM(H7:H17)*G18</f>
        <v>75525.296000000002</v>
      </c>
      <c r="I18" s="72">
        <v>3.0800000000000001E-2</v>
      </c>
      <c r="J18" s="28">
        <f>SUM(J7:J17)*I18</f>
        <v>74366.600000000006</v>
      </c>
    </row>
    <row r="19" spans="1:10" ht="15.75" thickBot="1">
      <c r="A19" s="31" t="s">
        <v>83</v>
      </c>
      <c r="B19" s="48" t="s">
        <v>91</v>
      </c>
      <c r="C19" s="61"/>
      <c r="D19" s="62"/>
      <c r="E19" s="32"/>
      <c r="F19" s="33">
        <v>0</v>
      </c>
      <c r="G19" s="32"/>
      <c r="H19" s="33">
        <v>0</v>
      </c>
      <c r="I19" s="32"/>
      <c r="J19" s="33">
        <v>0</v>
      </c>
    </row>
    <row r="20" spans="1:10" ht="29.25" thickBot="1">
      <c r="A20" s="34" t="s">
        <v>84</v>
      </c>
      <c r="B20" s="49" t="s">
        <v>113</v>
      </c>
      <c r="C20" s="35"/>
      <c r="D20" s="63"/>
      <c r="E20" s="19"/>
      <c r="F20" s="36">
        <f>SUM(F7:F19)</f>
        <v>2376476.4144000001</v>
      </c>
      <c r="G20" s="19"/>
      <c r="H20" s="36">
        <f>SUM(H7:H19)</f>
        <v>2527645.2960000001</v>
      </c>
      <c r="I20" s="19"/>
      <c r="J20" s="36">
        <f>SUM(J7:J19)</f>
        <v>2488866.6</v>
      </c>
    </row>
    <row r="21" spans="1:10" ht="15.75" thickBot="1">
      <c r="A21" s="37"/>
      <c r="B21" s="50" t="s">
        <v>96</v>
      </c>
      <c r="C21" s="64"/>
      <c r="D21" s="65"/>
      <c r="E21" s="22"/>
      <c r="F21" s="23"/>
      <c r="G21" s="22"/>
      <c r="H21" s="23"/>
      <c r="I21" s="22"/>
      <c r="J21" s="23"/>
    </row>
    <row r="22" spans="1:10">
      <c r="A22" s="24" t="s">
        <v>92</v>
      </c>
      <c r="B22" s="46" t="s">
        <v>72</v>
      </c>
      <c r="C22" s="25">
        <f>$C$5*D22</f>
        <v>22000</v>
      </c>
      <c r="D22" s="56">
        <v>0.01</v>
      </c>
      <c r="E22" s="25">
        <v>23000</v>
      </c>
      <c r="F22" s="21">
        <f>$C$22*E22/21000</f>
        <v>24095.238095238095</v>
      </c>
      <c r="G22" s="25">
        <v>24000</v>
      </c>
      <c r="H22" s="21">
        <f>$C$22*G22/21000</f>
        <v>25142.857142857141</v>
      </c>
      <c r="I22" s="25">
        <v>25000</v>
      </c>
      <c r="J22" s="21">
        <f>$C$22*I22/21000</f>
        <v>26190.476190476191</v>
      </c>
    </row>
    <row r="23" spans="1:10">
      <c r="A23" s="26" t="s">
        <v>93</v>
      </c>
      <c r="B23" s="47" t="s">
        <v>73</v>
      </c>
      <c r="C23" s="57"/>
      <c r="D23" s="58"/>
      <c r="E23" s="27">
        <v>1.1499999999999999</v>
      </c>
      <c r="F23" s="28">
        <f>F22*(E23-1)</f>
        <v>3614.2857142857119</v>
      </c>
      <c r="G23" s="27">
        <v>1.25</v>
      </c>
      <c r="H23" s="28">
        <f>H22*(G23-1)</f>
        <v>6285.7142857142853</v>
      </c>
      <c r="I23" s="27">
        <v>1</v>
      </c>
      <c r="J23" s="28">
        <f>J22*(I23-1)</f>
        <v>0</v>
      </c>
    </row>
    <row r="24" spans="1:10">
      <c r="A24" s="26" t="s">
        <v>85</v>
      </c>
      <c r="B24" s="47" t="s">
        <v>74</v>
      </c>
      <c r="C24" s="57"/>
      <c r="D24" s="58"/>
      <c r="E24" s="38">
        <v>0.6</v>
      </c>
      <c r="F24" s="28">
        <f>(F22+F23)*E24</f>
        <v>16625.714285714286</v>
      </c>
      <c r="G24" s="38">
        <v>0.65</v>
      </c>
      <c r="H24" s="28">
        <f>(H22+H23)*G24</f>
        <v>20428.571428571428</v>
      </c>
      <c r="I24" s="38">
        <v>0.6</v>
      </c>
      <c r="J24" s="28">
        <f>(J22+J23)*I24</f>
        <v>15714.285714285714</v>
      </c>
    </row>
    <row r="25" spans="1:10" ht="15.75" thickBot="1">
      <c r="A25" s="31" t="s">
        <v>94</v>
      </c>
      <c r="B25" s="48" t="s">
        <v>75</v>
      </c>
      <c r="C25" s="66"/>
      <c r="D25" s="67"/>
      <c r="E25" s="38">
        <v>0.4</v>
      </c>
      <c r="F25" s="28">
        <f>(F22+F23)*E25</f>
        <v>11083.809523809525</v>
      </c>
      <c r="G25" s="38">
        <v>0.4</v>
      </c>
      <c r="H25" s="28">
        <f>(H22+H23)*G25</f>
        <v>12571.428571428572</v>
      </c>
      <c r="I25" s="38">
        <v>0.4</v>
      </c>
      <c r="J25" s="28">
        <f>(J22+J23)*I25</f>
        <v>10476.190476190477</v>
      </c>
    </row>
    <row r="26" spans="1:10" ht="29.25" thickBot="1">
      <c r="A26" s="18">
        <v>20</v>
      </c>
      <c r="B26" s="51" t="s">
        <v>124</v>
      </c>
      <c r="C26" s="68"/>
      <c r="D26" s="69"/>
      <c r="E26" s="19"/>
      <c r="F26" s="36">
        <f>SUM(F22:F25)</f>
        <v>55419.047619047618</v>
      </c>
      <c r="G26" s="19"/>
      <c r="H26" s="36">
        <f>SUM(H22:H25)</f>
        <v>64428.571428571428</v>
      </c>
      <c r="I26" s="19"/>
      <c r="J26" s="36">
        <f>SUM(J22:J25)</f>
        <v>52380.952380952382</v>
      </c>
    </row>
    <row r="27" spans="1:10" ht="15.75" thickBot="1">
      <c r="A27" s="18">
        <v>21</v>
      </c>
      <c r="B27" s="51" t="s">
        <v>125</v>
      </c>
      <c r="C27" s="68"/>
      <c r="D27" s="69"/>
      <c r="E27" s="19"/>
      <c r="F27" s="20">
        <f>F20+F26</f>
        <v>2431895.4620190477</v>
      </c>
      <c r="G27" s="19"/>
      <c r="H27" s="20">
        <f>H20+H26</f>
        <v>2592073.8674285715</v>
      </c>
      <c r="I27" s="19"/>
      <c r="J27" s="20">
        <f>J20+J26</f>
        <v>2541247.5523809525</v>
      </c>
    </row>
    <row r="28" spans="1:10" ht="29.25" thickBot="1">
      <c r="A28" s="73">
        <v>22</v>
      </c>
      <c r="B28" s="74" t="s">
        <v>130</v>
      </c>
      <c r="C28" s="75"/>
      <c r="D28" s="76"/>
      <c r="E28" s="39"/>
      <c r="F28" s="77">
        <f>F27-F27</f>
        <v>0</v>
      </c>
      <c r="G28" s="78"/>
      <c r="H28" s="77">
        <f>H27-F27</f>
        <v>160178.40540952375</v>
      </c>
      <c r="I28" s="78"/>
      <c r="J28" s="77">
        <f>J27-F27</f>
        <v>109352.09036190482</v>
      </c>
    </row>
    <row r="29" spans="1:10">
      <c r="A29" s="17"/>
    </row>
  </sheetData>
  <mergeCells count="8">
    <mergeCell ref="A1:J1"/>
    <mergeCell ref="A2:J2"/>
    <mergeCell ref="I3:J3"/>
    <mergeCell ref="A3:A4"/>
    <mergeCell ref="B3:B4"/>
    <mergeCell ref="C3:D3"/>
    <mergeCell ref="E3:F3"/>
    <mergeCell ref="G3:H3"/>
  </mergeCells>
  <pageMargins left="0.31496062992125984" right="0.31496062992125984" top="0.74803149606299213" bottom="0.35433070866141736" header="0.31496062992125984" footer="0.31496062992125984"/>
  <pageSetup paperSize="9" scale="97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9"/>
  <sheetViews>
    <sheetView zoomScale="115" zoomScaleNormal="115" workbookViewId="0">
      <selection activeCell="N24" sqref="N24"/>
    </sheetView>
  </sheetViews>
  <sheetFormatPr defaultRowHeight="15"/>
  <cols>
    <col min="1" max="1" width="5.7109375" style="16" customWidth="1"/>
    <col min="2" max="2" width="53.5703125" style="16" customWidth="1"/>
    <col min="3" max="3" width="11.140625" style="16" customWidth="1"/>
    <col min="4" max="4" width="11" style="16" customWidth="1"/>
    <col min="5" max="5" width="9.5703125" style="16" customWidth="1"/>
    <col min="6" max="6" width="13" style="16" customWidth="1"/>
    <col min="7" max="7" width="9" style="16" customWidth="1"/>
    <col min="8" max="8" width="12.28515625" style="16" customWidth="1"/>
    <col min="9" max="9" width="10.140625" style="16" customWidth="1"/>
    <col min="10" max="10" width="12.7109375" style="16" customWidth="1"/>
    <col min="11" max="16384" width="9.140625" style="16"/>
  </cols>
  <sheetData>
    <row r="1" spans="1:10" s="70" customFormat="1" ht="21" customHeight="1">
      <c r="A1" s="164" t="s">
        <v>126</v>
      </c>
      <c r="B1" s="165"/>
      <c r="C1" s="165"/>
      <c r="D1" s="165"/>
      <c r="E1" s="165"/>
      <c r="F1" s="165"/>
      <c r="G1" s="166"/>
      <c r="H1" s="166"/>
      <c r="I1" s="166"/>
      <c r="J1" s="166"/>
    </row>
    <row r="2" spans="1:10" s="70" customFormat="1" ht="15.75" customHeight="1" thickBot="1">
      <c r="A2" s="167" t="s">
        <v>129</v>
      </c>
      <c r="B2" s="168"/>
      <c r="C2" s="168"/>
      <c r="D2" s="168"/>
      <c r="E2" s="168"/>
      <c r="F2" s="168"/>
      <c r="G2" s="168"/>
      <c r="H2" s="168"/>
      <c r="I2" s="168"/>
      <c r="J2" s="168"/>
    </row>
    <row r="3" spans="1:10">
      <c r="A3" s="171" t="s">
        <v>60</v>
      </c>
      <c r="B3" s="173" t="s">
        <v>68</v>
      </c>
      <c r="C3" s="171" t="s">
        <v>69</v>
      </c>
      <c r="D3" s="175"/>
      <c r="E3" s="169" t="s">
        <v>121</v>
      </c>
      <c r="F3" s="170"/>
      <c r="G3" s="169" t="s">
        <v>122</v>
      </c>
      <c r="H3" s="170"/>
      <c r="I3" s="169" t="s">
        <v>123</v>
      </c>
      <c r="J3" s="170"/>
    </row>
    <row r="4" spans="1:10" ht="25.5" customHeight="1" thickBot="1">
      <c r="A4" s="172"/>
      <c r="B4" s="174"/>
      <c r="C4" s="79" t="s">
        <v>70</v>
      </c>
      <c r="D4" s="53" t="s">
        <v>112</v>
      </c>
      <c r="E4" s="43" t="s">
        <v>71</v>
      </c>
      <c r="F4" s="44" t="s">
        <v>70</v>
      </c>
      <c r="G4" s="43" t="s">
        <v>71</v>
      </c>
      <c r="H4" s="44" t="s">
        <v>70</v>
      </c>
      <c r="I4" s="43" t="s">
        <v>71</v>
      </c>
      <c r="J4" s="44" t="s">
        <v>70</v>
      </c>
    </row>
    <row r="5" spans="1:10" ht="29.25" customHeight="1" thickBot="1">
      <c r="A5" s="34" t="s">
        <v>106</v>
      </c>
      <c r="B5" s="49" t="s">
        <v>127</v>
      </c>
      <c r="C5" s="35">
        <v>2200000</v>
      </c>
      <c r="D5" s="63"/>
      <c r="E5" s="19" t="s">
        <v>97</v>
      </c>
      <c r="F5" s="36" t="s">
        <v>97</v>
      </c>
      <c r="G5" s="19" t="s">
        <v>97</v>
      </c>
      <c r="H5" s="36" t="s">
        <v>97</v>
      </c>
      <c r="I5" s="19" t="s">
        <v>97</v>
      </c>
      <c r="J5" s="36" t="s">
        <v>97</v>
      </c>
    </row>
    <row r="6" spans="1:10" ht="15.75" thickBot="1">
      <c r="A6" s="40"/>
      <c r="B6" s="45" t="s">
        <v>95</v>
      </c>
      <c r="C6" s="54"/>
      <c r="D6" s="55"/>
      <c r="E6" s="41"/>
      <c r="F6" s="42"/>
      <c r="G6" s="41"/>
      <c r="H6" s="42"/>
      <c r="I6" s="41"/>
      <c r="J6" s="42"/>
    </row>
    <row r="7" spans="1:10">
      <c r="A7" s="24" t="s">
        <v>61</v>
      </c>
      <c r="B7" s="46" t="s">
        <v>72</v>
      </c>
      <c r="C7" s="25">
        <f>$C$5*D7</f>
        <v>402069.8</v>
      </c>
      <c r="D7" s="80">
        <v>0.182759</v>
      </c>
      <c r="E7" s="25">
        <v>23000</v>
      </c>
      <c r="F7" s="21">
        <f>$C$7*E7/23000</f>
        <v>402069.8</v>
      </c>
      <c r="G7" s="25">
        <v>24000</v>
      </c>
      <c r="H7" s="21">
        <f>$C$7*G7/23000</f>
        <v>419551.09565217391</v>
      </c>
      <c r="I7" s="25">
        <v>25000</v>
      </c>
      <c r="J7" s="21">
        <f>$C$7*I7/23000</f>
        <v>437032.39130434784</v>
      </c>
    </row>
    <row r="8" spans="1:10">
      <c r="A8" s="26" t="s">
        <v>62</v>
      </c>
      <c r="B8" s="47" t="s">
        <v>73</v>
      </c>
      <c r="C8" s="57"/>
      <c r="D8" s="58"/>
      <c r="E8" s="27">
        <v>1.1499999999999999</v>
      </c>
      <c r="F8" s="28">
        <f>F7*(E8-1)</f>
        <v>60310.469999999965</v>
      </c>
      <c r="G8" s="27">
        <v>1.1499999999999999</v>
      </c>
      <c r="H8" s="28">
        <f>H7*(G8-1)</f>
        <v>62932.664347826052</v>
      </c>
      <c r="I8" s="27">
        <v>1.1499999999999999</v>
      </c>
      <c r="J8" s="28">
        <f>J7*(I8-1)</f>
        <v>65554.858695652132</v>
      </c>
    </row>
    <row r="9" spans="1:10">
      <c r="A9" s="26" t="s">
        <v>63</v>
      </c>
      <c r="B9" s="47" t="s">
        <v>74</v>
      </c>
      <c r="C9" s="57"/>
      <c r="D9" s="58"/>
      <c r="E9" s="38">
        <v>0.9</v>
      </c>
      <c r="F9" s="28">
        <f>(F7+F8)*E9</f>
        <v>416142.24299999996</v>
      </c>
      <c r="G9" s="38">
        <v>0.95</v>
      </c>
      <c r="H9" s="28">
        <f>(H7+H8)*G9</f>
        <v>458359.57199999993</v>
      </c>
      <c r="I9" s="38">
        <v>0.9</v>
      </c>
      <c r="J9" s="28">
        <f>(J7+J8)*I9</f>
        <v>452328.52500000002</v>
      </c>
    </row>
    <row r="10" spans="1:10">
      <c r="A10" s="26" t="s">
        <v>64</v>
      </c>
      <c r="B10" s="47" t="s">
        <v>75</v>
      </c>
      <c r="C10" s="57"/>
      <c r="D10" s="58"/>
      <c r="E10" s="38">
        <v>0.52</v>
      </c>
      <c r="F10" s="28">
        <f>(F7+F8)*E10</f>
        <v>240437.74039999998</v>
      </c>
      <c r="G10" s="38">
        <v>0.65</v>
      </c>
      <c r="H10" s="28">
        <f>(H7+H8)*G10</f>
        <v>313614.44399999996</v>
      </c>
      <c r="I10" s="38">
        <v>0.52</v>
      </c>
      <c r="J10" s="28">
        <f>(J7+J8)*I10</f>
        <v>261345.37</v>
      </c>
    </row>
    <row r="11" spans="1:10">
      <c r="A11" s="26" t="s">
        <v>65</v>
      </c>
      <c r="B11" s="47" t="s">
        <v>86</v>
      </c>
      <c r="C11" s="25">
        <f>$C$5*D11</f>
        <v>660000</v>
      </c>
      <c r="D11" s="58">
        <v>0.3</v>
      </c>
      <c r="E11" s="81" t="s">
        <v>97</v>
      </c>
      <c r="F11" s="82" t="s">
        <v>97</v>
      </c>
      <c r="G11" s="81" t="s">
        <v>97</v>
      </c>
      <c r="H11" s="82" t="s">
        <v>97</v>
      </c>
      <c r="I11" s="81" t="s">
        <v>97</v>
      </c>
      <c r="J11" s="82" t="s">
        <v>97</v>
      </c>
    </row>
    <row r="12" spans="1:10">
      <c r="A12" s="26" t="s">
        <v>66</v>
      </c>
      <c r="B12" s="47" t="s">
        <v>87</v>
      </c>
      <c r="C12" s="29"/>
      <c r="D12" s="58"/>
      <c r="E12" s="38">
        <v>0.12</v>
      </c>
      <c r="F12" s="30">
        <f>C11*E12</f>
        <v>79200</v>
      </c>
      <c r="G12" s="38">
        <v>0.12</v>
      </c>
      <c r="H12" s="30">
        <f>C11*G12</f>
        <v>79200</v>
      </c>
      <c r="I12" s="38">
        <v>0.12</v>
      </c>
      <c r="J12" s="30">
        <f>C11*I12</f>
        <v>79200</v>
      </c>
    </row>
    <row r="13" spans="1:10">
      <c r="A13" s="26" t="s">
        <v>67</v>
      </c>
      <c r="B13" s="47" t="s">
        <v>89</v>
      </c>
      <c r="C13" s="25">
        <f>$C$5*D13</f>
        <v>220000</v>
      </c>
      <c r="D13" s="58">
        <v>0.1</v>
      </c>
      <c r="E13" s="81" t="s">
        <v>97</v>
      </c>
      <c r="F13" s="82" t="s">
        <v>97</v>
      </c>
      <c r="G13" s="81" t="s">
        <v>97</v>
      </c>
      <c r="H13" s="82" t="s">
        <v>97</v>
      </c>
      <c r="I13" s="81" t="s">
        <v>97</v>
      </c>
      <c r="J13" s="82" t="s">
        <v>97</v>
      </c>
    </row>
    <row r="14" spans="1:10">
      <c r="A14" s="26" t="s">
        <v>77</v>
      </c>
      <c r="B14" s="47" t="s">
        <v>90</v>
      </c>
      <c r="C14" s="29"/>
      <c r="D14" s="58"/>
      <c r="E14" s="38">
        <v>0.02</v>
      </c>
      <c r="F14" s="30">
        <f>C13*E14</f>
        <v>4400</v>
      </c>
      <c r="G14" s="38">
        <v>0.02</v>
      </c>
      <c r="H14" s="30">
        <f>C13*G14</f>
        <v>4400</v>
      </c>
      <c r="I14" s="38">
        <v>0.02</v>
      </c>
      <c r="J14" s="30">
        <f>C13*I14</f>
        <v>4400</v>
      </c>
    </row>
    <row r="15" spans="1:10">
      <c r="A15" s="26" t="s">
        <v>79</v>
      </c>
      <c r="B15" s="47" t="s">
        <v>118</v>
      </c>
      <c r="C15" s="25">
        <f>$C$5*D15</f>
        <v>660000</v>
      </c>
      <c r="D15" s="71">
        <v>0.3</v>
      </c>
      <c r="E15" s="29" t="s">
        <v>97</v>
      </c>
      <c r="F15" s="30" t="s">
        <v>97</v>
      </c>
      <c r="G15" s="29" t="s">
        <v>97</v>
      </c>
      <c r="H15" s="30" t="s">
        <v>97</v>
      </c>
      <c r="I15" s="29" t="s">
        <v>97</v>
      </c>
      <c r="J15" s="30" t="s">
        <v>97</v>
      </c>
    </row>
    <row r="16" spans="1:10">
      <c r="A16" s="26" t="s">
        <v>80</v>
      </c>
      <c r="B16" s="47" t="s">
        <v>119</v>
      </c>
      <c r="C16" s="29"/>
      <c r="D16" s="58"/>
      <c r="E16" s="38">
        <v>0.03</v>
      </c>
      <c r="F16" s="30">
        <f>$C$15*E16</f>
        <v>19800</v>
      </c>
      <c r="G16" s="38">
        <v>0.05</v>
      </c>
      <c r="H16" s="30">
        <f>$C$15*G16</f>
        <v>33000</v>
      </c>
      <c r="I16" s="38">
        <v>0.05</v>
      </c>
      <c r="J16" s="30">
        <f>$C$15*I16</f>
        <v>33000</v>
      </c>
    </row>
    <row r="17" spans="1:10">
      <c r="A17" s="26" t="s">
        <v>81</v>
      </c>
      <c r="B17" s="47" t="s">
        <v>76</v>
      </c>
      <c r="C17" s="25">
        <f>$C$5*D17</f>
        <v>0</v>
      </c>
      <c r="D17" s="58"/>
      <c r="E17" s="81" t="s">
        <v>97</v>
      </c>
      <c r="F17" s="82" t="s">
        <v>97</v>
      </c>
      <c r="G17" s="81" t="s">
        <v>97</v>
      </c>
      <c r="H17" s="82" t="s">
        <v>97</v>
      </c>
      <c r="I17" s="81" t="s">
        <v>97</v>
      </c>
      <c r="J17" s="82" t="s">
        <v>97</v>
      </c>
    </row>
    <row r="18" spans="1:10">
      <c r="A18" s="26" t="s">
        <v>82</v>
      </c>
      <c r="B18" s="47" t="s">
        <v>78</v>
      </c>
      <c r="C18" s="59"/>
      <c r="D18" s="60"/>
      <c r="E18" s="72">
        <v>3.0800000000000001E-2</v>
      </c>
      <c r="F18" s="28">
        <f>SUM(F7:F17)*E18</f>
        <v>37648.695804719995</v>
      </c>
      <c r="G18" s="72">
        <v>3.0800000000000001E-2</v>
      </c>
      <c r="H18" s="28">
        <f>SUM(H7:H17)*G18</f>
        <v>42228.579500799999</v>
      </c>
      <c r="I18" s="72">
        <v>3.0800000000000001E-2</v>
      </c>
      <c r="J18" s="28">
        <f>SUM(J7:J17)*I18</f>
        <v>41052.123266000002</v>
      </c>
    </row>
    <row r="19" spans="1:10" ht="15.75" thickBot="1">
      <c r="A19" s="31" t="s">
        <v>83</v>
      </c>
      <c r="B19" s="48" t="s">
        <v>91</v>
      </c>
      <c r="C19" s="61"/>
      <c r="D19" s="62"/>
      <c r="E19" s="32"/>
      <c r="F19" s="33">
        <v>0</v>
      </c>
      <c r="G19" s="32"/>
      <c r="H19" s="33">
        <v>0</v>
      </c>
      <c r="I19" s="32"/>
      <c r="J19" s="33">
        <v>0</v>
      </c>
    </row>
    <row r="20" spans="1:10" ht="29.25" thickBot="1">
      <c r="A20" s="34" t="s">
        <v>84</v>
      </c>
      <c r="B20" s="49" t="s">
        <v>113</v>
      </c>
      <c r="C20" s="35"/>
      <c r="D20" s="63"/>
      <c r="E20" s="19"/>
      <c r="F20" s="36">
        <f>SUM(F7:F19)</f>
        <v>1260008.9492047199</v>
      </c>
      <c r="G20" s="19"/>
      <c r="H20" s="36">
        <f>SUM(H7:H19)</f>
        <v>1413286.3555007998</v>
      </c>
      <c r="I20" s="19"/>
      <c r="J20" s="36">
        <f>SUM(J7:J19)</f>
        <v>1373913.2682660001</v>
      </c>
    </row>
    <row r="21" spans="1:10" ht="15.75" thickBot="1">
      <c r="A21" s="37"/>
      <c r="B21" s="50" t="s">
        <v>96</v>
      </c>
      <c r="C21" s="64"/>
      <c r="D21" s="65"/>
      <c r="E21" s="22"/>
      <c r="F21" s="23"/>
      <c r="G21" s="22"/>
      <c r="H21" s="23"/>
      <c r="I21" s="22"/>
      <c r="J21" s="23"/>
    </row>
    <row r="22" spans="1:10">
      <c r="A22" s="24" t="s">
        <v>92</v>
      </c>
      <c r="B22" s="46" t="s">
        <v>72</v>
      </c>
      <c r="C22" s="25">
        <f>$C$5*D22</f>
        <v>22000</v>
      </c>
      <c r="D22" s="56">
        <v>0.01</v>
      </c>
      <c r="E22" s="83"/>
      <c r="F22" s="84"/>
      <c r="G22" s="83"/>
      <c r="H22" s="84"/>
      <c r="I22" s="83"/>
      <c r="J22" s="84"/>
    </row>
    <row r="23" spans="1:10">
      <c r="A23" s="26" t="s">
        <v>93</v>
      </c>
      <c r="B23" s="47" t="s">
        <v>73</v>
      </c>
      <c r="C23" s="57"/>
      <c r="D23" s="58"/>
      <c r="E23" s="85"/>
      <c r="F23" s="86"/>
      <c r="G23" s="85"/>
      <c r="H23" s="86"/>
      <c r="I23" s="85"/>
      <c r="J23" s="86"/>
    </row>
    <row r="24" spans="1:10">
      <c r="A24" s="26" t="s">
        <v>85</v>
      </c>
      <c r="B24" s="47" t="s">
        <v>74</v>
      </c>
      <c r="C24" s="57"/>
      <c r="D24" s="58"/>
      <c r="E24" s="87"/>
      <c r="F24" s="86"/>
      <c r="G24" s="87"/>
      <c r="H24" s="86"/>
      <c r="I24" s="87"/>
      <c r="J24" s="86"/>
    </row>
    <row r="25" spans="1:10" ht="15.75" thickBot="1">
      <c r="A25" s="31" t="s">
        <v>94</v>
      </c>
      <c r="B25" s="48" t="s">
        <v>75</v>
      </c>
      <c r="C25" s="66"/>
      <c r="D25" s="67"/>
      <c r="E25" s="87"/>
      <c r="F25" s="86"/>
      <c r="G25" s="87"/>
      <c r="H25" s="86"/>
      <c r="I25" s="87"/>
      <c r="J25" s="86"/>
    </row>
    <row r="26" spans="1:10" ht="29.25" thickBot="1">
      <c r="A26" s="18">
        <v>20</v>
      </c>
      <c r="B26" s="51" t="s">
        <v>124</v>
      </c>
      <c r="C26" s="68"/>
      <c r="D26" s="69"/>
      <c r="E26" s="19"/>
      <c r="F26" s="36">
        <f>SUM(F22:F25)</f>
        <v>0</v>
      </c>
      <c r="G26" s="19"/>
      <c r="H26" s="36">
        <f>SUM(H22:H25)</f>
        <v>0</v>
      </c>
      <c r="I26" s="19"/>
      <c r="J26" s="36">
        <f>SUM(J22:J25)</f>
        <v>0</v>
      </c>
    </row>
    <row r="27" spans="1:10" ht="15.75" thickBot="1">
      <c r="A27" s="18">
        <v>21</v>
      </c>
      <c r="B27" s="51" t="s">
        <v>125</v>
      </c>
      <c r="C27" s="68"/>
      <c r="D27" s="69"/>
      <c r="E27" s="19"/>
      <c r="F27" s="20">
        <f>F20+F26</f>
        <v>1260008.9492047199</v>
      </c>
      <c r="G27" s="19"/>
      <c r="H27" s="20">
        <f>H20+H26</f>
        <v>1413286.3555007998</v>
      </c>
      <c r="I27" s="19"/>
      <c r="J27" s="20">
        <f>J20+J26</f>
        <v>1373913.2682660001</v>
      </c>
    </row>
    <row r="28" spans="1:10">
      <c r="A28" s="17"/>
    </row>
    <row r="29" spans="1:10">
      <c r="B29" s="89"/>
      <c r="E29" s="89" t="s">
        <v>131</v>
      </c>
      <c r="F29" s="88">
        <f>F27-F27</f>
        <v>0</v>
      </c>
      <c r="G29" s="89"/>
      <c r="H29" s="88">
        <f>H27-F27</f>
        <v>153277.40629607998</v>
      </c>
      <c r="I29" s="89"/>
      <c r="J29" s="88">
        <f>J27-F27</f>
        <v>113904.31906128023</v>
      </c>
    </row>
  </sheetData>
  <mergeCells count="8">
    <mergeCell ref="A1:J1"/>
    <mergeCell ref="A2:J2"/>
    <mergeCell ref="A3:A4"/>
    <mergeCell ref="B3:B4"/>
    <mergeCell ref="C3:D3"/>
    <mergeCell ref="E3:F3"/>
    <mergeCell ref="G3:H3"/>
    <mergeCell ref="I3:J3"/>
  </mergeCells>
  <pageMargins left="0.31496062992125984" right="0.31496062992125984" top="0.74803149606299213" bottom="0.35433070866141736" header="0.31496062992125984" footer="0.31496062992125984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9</vt:i4>
      </vt:variant>
    </vt:vector>
  </HeadingPairs>
  <TitlesOfParts>
    <vt:vector size="13" baseType="lpstr">
      <vt:lpstr>Справочник</vt:lpstr>
      <vt:lpstr>Порядок оценки</vt:lpstr>
      <vt:lpstr>Пример сравнительной оценки</vt:lpstr>
      <vt:lpstr>По методике ЯНОС</vt:lpstr>
      <vt:lpstr>№_типа_сделки</vt:lpstr>
      <vt:lpstr>Вид_договора__краткосрочный___долгосрочный</vt:lpstr>
      <vt:lpstr>Критичн.____критичные____не_критичн.</vt:lpstr>
      <vt:lpstr>'Порядок оценки'!Область_печати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2015-06-23T07:21:00Z</cp:lastPrinted>
  <dcterms:created xsi:type="dcterms:W3CDTF">2010-09-28T10:04:17Z</dcterms:created>
  <dcterms:modified xsi:type="dcterms:W3CDTF">2015-06-23T08:54:51Z</dcterms:modified>
</cp:coreProperties>
</file>