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735" yWindow="120" windowWidth="14925" windowHeight="10290" tabRatio="806" firstSheet="1" activeTab="1"/>
  </bookViews>
  <sheets>
    <sheet name="Справочник" sheetId="3" state="hidden" r:id="rId1"/>
    <sheet name="Пр. 9.2." sheetId="57" r:id="rId2"/>
    <sheet name="Пр. 9.1." sheetId="59" r:id="rId3"/>
    <sheet name="Пр. 9" sheetId="58" r:id="rId4"/>
  </sheets>
  <externalReferences>
    <externalReference r:id="rId5"/>
    <externalReference r:id="rId6"/>
    <externalReference r:id="rId7"/>
    <externalReference r:id="rId8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3">#REF!</definedName>
    <definedName name="qq" localSheetId="2">#REF!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3">#REF!</definedName>
    <definedName name="выборконтрагента" localSheetId="2">#REF!</definedName>
    <definedName name="выборконтрагента" localSheetId="1">#REF!</definedName>
    <definedName name="выборконтрагента">#REF!</definedName>
    <definedName name="дод">[3]Resources!$G$1</definedName>
    <definedName name="_xlnm.Print_Titles" localSheetId="2">'Пр. 9.1.'!$5:$6</definedName>
    <definedName name="Критичн.____критичные____не_критичн.">Справочник!$F$2:$F$3</definedName>
    <definedName name="_xlnm.Print_Area" localSheetId="3">'Пр. 9'!$A$1:$F$25</definedName>
    <definedName name="_xlnm.Print_Area" localSheetId="2">'Пр. 9.1.'!$A$1:$N$39</definedName>
    <definedName name="ОЛ" localSheetId="3">#REF!</definedName>
    <definedName name="ОЛ" localSheetId="2">#REF!</definedName>
    <definedName name="ОЛ" localSheetId="1">#REF!</definedName>
    <definedName name="ОЛ">#REF!</definedName>
    <definedName name="ОЛФ" localSheetId="3">#REF!</definedName>
    <definedName name="ОЛФ" localSheetId="2">#REF!</definedName>
    <definedName name="ОЛФ" localSheetId="1">#REF!</definedName>
    <definedName name="ОЛФ">#REF!</definedName>
    <definedName name="Отдел" localSheetId="3">#REF!</definedName>
    <definedName name="Отдел" localSheetId="2">#REF!</definedName>
    <definedName name="Отдел" localSheetId="1">#REF!</definedName>
    <definedName name="Отдел">#REF!</definedName>
    <definedName name="Отдел_закупки" localSheetId="3">#REF!</definedName>
    <definedName name="Отдел_закупки" localSheetId="2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3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3">#REF!</definedName>
    <definedName name="потребность" localSheetId="2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3">#REF!</definedName>
    <definedName name="способ" localSheetId="2">#REF!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 localSheetId="2">#REF!</definedName>
    <definedName name="сс">#REF!</definedName>
    <definedName name="Статус_согласования_договора">Справочник!$E$2:$E$6</definedName>
    <definedName name="тип_сделки" localSheetId="3">#REF!</definedName>
    <definedName name="тип_сделки" localSheetId="2">#REF!</definedName>
    <definedName name="тип_сделки" localSheetId="1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I27" i="59"/>
  <c r="G27"/>
  <c r="E27"/>
  <c r="I26"/>
  <c r="G26"/>
  <c r="E26"/>
  <c r="C25"/>
  <c r="C24"/>
  <c r="N24" s="1"/>
  <c r="C20"/>
  <c r="C19"/>
  <c r="N19" s="1"/>
  <c r="D18"/>
  <c r="C18"/>
  <c r="C17"/>
  <c r="N18" s="1"/>
  <c r="D16"/>
  <c r="C16" s="1"/>
  <c r="C15"/>
  <c r="J15" s="1"/>
  <c r="J16" s="1"/>
  <c r="D14"/>
  <c r="C14" s="1"/>
  <c r="C13"/>
  <c r="L13" s="1"/>
  <c r="L14" s="1"/>
  <c r="O10"/>
  <c r="C10"/>
  <c r="C9"/>
  <c r="J9" s="1"/>
  <c r="F13" l="1"/>
  <c r="F14" s="1"/>
  <c r="N13"/>
  <c r="N14" s="1"/>
  <c r="J13"/>
  <c r="J14" s="1"/>
  <c r="N9"/>
  <c r="N10" s="1"/>
  <c r="L9"/>
  <c r="H13"/>
  <c r="H14" s="1"/>
  <c r="L15"/>
  <c r="L16" s="1"/>
  <c r="N15"/>
  <c r="N16" s="1"/>
  <c r="J10"/>
  <c r="J11" s="1"/>
  <c r="N25"/>
  <c r="N28"/>
  <c r="F19"/>
  <c r="F18"/>
  <c r="J19"/>
  <c r="H24"/>
  <c r="L19"/>
  <c r="H9"/>
  <c r="H15"/>
  <c r="H16" s="1"/>
  <c r="H19"/>
  <c r="F24"/>
  <c r="N20"/>
  <c r="N22" s="1"/>
  <c r="N29" s="1"/>
  <c r="F9"/>
  <c r="F15"/>
  <c r="F16" s="1"/>
  <c r="H18"/>
  <c r="J24"/>
  <c r="L10"/>
  <c r="J18"/>
  <c r="L24"/>
  <c r="L18"/>
  <c r="J12" l="1"/>
  <c r="J20"/>
  <c r="J22" s="1"/>
  <c r="F10"/>
  <c r="H25"/>
  <c r="H27" s="1"/>
  <c r="L25"/>
  <c r="L28" s="1"/>
  <c r="F25"/>
  <c r="F26" s="1"/>
  <c r="L20"/>
  <c r="J25"/>
  <c r="J26" s="1"/>
  <c r="H10"/>
  <c r="H12" s="1"/>
  <c r="L22"/>
  <c r="F11" l="1"/>
  <c r="H11"/>
  <c r="J27"/>
  <c r="J28" s="1"/>
  <c r="J29" s="1"/>
  <c r="H26"/>
  <c r="H20"/>
  <c r="H22" s="1"/>
  <c r="F27"/>
  <c r="F28"/>
  <c r="F12"/>
  <c r="L29"/>
  <c r="H28"/>
  <c r="F20" l="1"/>
  <c r="F22"/>
  <c r="F29" s="1"/>
  <c r="H29"/>
  <c r="N30"/>
  <c r="J31" l="1"/>
  <c r="L30"/>
  <c r="H30"/>
  <c r="D9" i="58" s="1"/>
  <c r="J30" i="59"/>
  <c r="E9" i="58" s="1"/>
  <c r="H31" i="59"/>
  <c r="F30"/>
  <c r="C9" i="58" s="1"/>
  <c r="C11" s="1"/>
  <c r="C12" s="1"/>
  <c r="N31" i="59"/>
  <c r="L31"/>
  <c r="E10" i="58" l="1"/>
  <c r="E11" s="1"/>
  <c r="E12" s="1"/>
  <c r="D10" l="1"/>
  <c r="D11" s="1"/>
  <c r="D12" s="1"/>
</calcChain>
</file>

<file path=xl/sharedStrings.xml><?xml version="1.0" encoding="utf-8"?>
<sst xmlns="http://schemas.openxmlformats.org/spreadsheetml/2006/main" count="223" uniqueCount="159">
  <si>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</si>
  <si>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</si>
  <si>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</si>
  <si>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</si>
  <si>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</si>
  <si>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</si>
  <si>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</si>
  <si>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</si>
  <si>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</si>
  <si>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</si>
  <si>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</si>
  <si>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</si>
  <si>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</si>
  <si>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</si>
  <si>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</si>
  <si>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</si>
  <si>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</si>
  <si>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</si>
  <si>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</si>
  <si>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</si>
  <si>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</si>
  <si>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</si>
  <si>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</si>
  <si>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</si>
  <si>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</si>
  <si>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</si>
  <si>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</si>
  <si>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</si>
  <si>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</si>
  <si>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</si>
  <si>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</si>
  <si>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</si>
  <si>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</si>
  <si>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</si>
  <si>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</si>
  <si>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</si>
  <si>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</si>
  <si>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</si>
  <si>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</si>
  <si>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</si>
  <si>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</si>
  <si>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</si>
  <si>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</si>
  <si>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</si>
  <si>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</si>
  <si>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</si>
  <si>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</si>
  <si>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</si>
  <si>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</si>
  <si>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</si>
  <si>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</si>
  <si>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</si>
  <si>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</si>
  <si>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</si>
  <si>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</si>
  <si>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</si>
  <si>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</si>
  <si>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</si>
  <si>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</si>
  <si>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</si>
  <si>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Знаменатель формулы без степени</t>
  </si>
  <si>
    <t>Степень знаменателя</t>
  </si>
  <si>
    <t>Знаменатель формулы</t>
  </si>
  <si>
    <t>Всего: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</si>
  <si>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</si>
  <si>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</si>
  <si>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</si>
  <si>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</si>
  <si>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</si>
  <si>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Приведенная стоимость аванса</t>
  </si>
  <si>
    <t>Оценка аванса (удорожание оферты)</t>
  </si>
  <si>
    <t>2. Отсрочка платежа, календарных дней</t>
  </si>
  <si>
    <t>3. Ключевая ставка ЦБ, %</t>
  </si>
  <si>
    <t>Приложение №9.2.___________к ПДО</t>
  </si>
  <si>
    <t>Сумма
погашаемого
аванса</t>
  </si>
  <si>
    <t>Период пользования авансом (t), дней</t>
  </si>
  <si>
    <t>1. Размер аванса, тыс. руб. с НДС</t>
  </si>
  <si>
    <t>Приложение №9__________к ПДО</t>
  </si>
  <si>
    <t>Сводная таблица оценки оферт с учетом Регламента и аванса</t>
  </si>
  <si>
    <t>№
п. п.</t>
  </si>
  <si>
    <t>Наименование показателей</t>
  </si>
  <si>
    <t>Прим.</t>
  </si>
  <si>
    <t>1</t>
  </si>
  <si>
    <t>Стоимость работ по основному договору</t>
  </si>
  <si>
    <t>2</t>
  </si>
  <si>
    <t>Разница Регламентов</t>
  </si>
  <si>
    <t>3</t>
  </si>
  <si>
    <t>Оценка аванса (при наличии)</t>
  </si>
  <si>
    <t>Всего (сумма п.1-3):</t>
  </si>
  <si>
    <t xml:space="preserve">Приложение № 1 к Сводной таблице № </t>
  </si>
  <si>
    <r>
      <rPr>
        <sz val="11"/>
        <color theme="1"/>
        <rFont val="Times New Roman"/>
        <family val="1"/>
        <charset val="204"/>
      </rPr>
      <t>Сравнительная оценка оферт по параметрам Регламентов на СМР и ПНР
на выполнение</t>
    </r>
    <r>
      <rPr>
        <b/>
        <sz val="11"/>
        <color theme="1"/>
        <rFont val="Times New Roman"/>
        <family val="1"/>
        <charset val="204"/>
      </rPr>
      <t xml:space="preserve">
"Комплекса работ по монтажу установки герметичного налива нефтепродуктов в ж/д цистерны в цехе №13 тит.212"</t>
    </r>
  </si>
  <si>
    <t>Цены указаны в тыс. руб. без НДС</t>
  </si>
  <si>
    <t>№</t>
  </si>
  <si>
    <t>Наименование затрат</t>
  </si>
  <si>
    <t>Плановые затраты</t>
  </si>
  <si>
    <t>ЗАО "Спецмонтаж"</t>
  </si>
  <si>
    <t>ООО "Реминдустрия"</t>
  </si>
  <si>
    <t>ОАО "Промфинстрой"</t>
  </si>
  <si>
    <t>ЗАО "Спецремстрой-сервис"</t>
  </si>
  <si>
    <t>сумма</t>
  </si>
  <si>
    <t>**вес</t>
  </si>
  <si>
    <t>размер затрат</t>
  </si>
  <si>
    <t>Ориентировочная стоимость дополнительных работ по оценке Заказчика (не вошедших в объем закупки)</t>
  </si>
  <si>
    <t xml:space="preserve"> - </t>
  </si>
  <si>
    <t>Регламент определения стоимости СМР</t>
  </si>
  <si>
    <t>Заработанная плата (ЗП), руб/мес.</t>
  </si>
  <si>
    <t>Кэффициент на стесненные условия (Кст)</t>
  </si>
  <si>
    <t>4</t>
  </si>
  <si>
    <t>Накладные расходы (НР), %</t>
  </si>
  <si>
    <t>по видам работ</t>
  </si>
  <si>
    <t>5</t>
  </si>
  <si>
    <t>Сметная прибыль (СП), %</t>
  </si>
  <si>
    <t>6</t>
  </si>
  <si>
    <t>Материалы поставки Подрядчика (МАТ-П)</t>
  </si>
  <si>
    <t>7</t>
  </si>
  <si>
    <t>Транспортные расходы на МАТ-П (Ктр.п), %</t>
  </si>
  <si>
    <t>8</t>
  </si>
  <si>
    <t>Оборудование поставки Подрядчика (ОБ)</t>
  </si>
  <si>
    <t>9</t>
  </si>
  <si>
    <t>Транспортные расходы на ОБ (Ктр.об), %</t>
  </si>
  <si>
    <t>10</t>
  </si>
  <si>
    <t>Материалы поставки Заказчика (МАТ-Зак)</t>
  </si>
  <si>
    <t>11</t>
  </si>
  <si>
    <t>Транспортные расходы на МАТ-Зак (Ктр.з), %</t>
  </si>
  <si>
    <t>12</t>
  </si>
  <si>
    <t>Машины и механизмы (ЭММ)</t>
  </si>
  <si>
    <t>13</t>
  </si>
  <si>
    <t>Зимние удорожание (ЗУ), %</t>
  </si>
  <si>
    <t>14</t>
  </si>
  <si>
    <t>Дополнительные условия (при наличии)</t>
  </si>
  <si>
    <t>15</t>
  </si>
  <si>
    <t>Стоимость работ на основании Регламента определения стоимости СМР</t>
  </si>
  <si>
    <t>Регламент определения стоимости ПНР</t>
  </si>
  <si>
    <t>16</t>
  </si>
  <si>
    <t>17</t>
  </si>
  <si>
    <t>18</t>
  </si>
  <si>
    <t>19</t>
  </si>
  <si>
    <t>Стоимость работ на основании Регламента определения стоимости ПНР</t>
  </si>
  <si>
    <t>Итого стоимость дополнительных работ</t>
  </si>
  <si>
    <t>Разница Регламентов определения стоимости СМР и ПНР на последующие работы, тыс. руб.</t>
  </si>
  <si>
    <t>Отклонение между офертами (по совокупной стоимости),%</t>
  </si>
  <si>
    <t>Директор по снабжению</t>
  </si>
  <si>
    <r>
      <t xml:space="preserve">____________________ </t>
    </r>
    <r>
      <rPr>
        <b/>
        <sz val="11"/>
        <rFont val="Times New Roman"/>
        <family val="1"/>
        <charset val="204"/>
      </rPr>
      <t>В.Ф. Желязков</t>
    </r>
  </si>
  <si>
    <t>(подпись)</t>
  </si>
  <si>
    <t>Начальник ОЗУ</t>
  </si>
  <si>
    <r>
      <t xml:space="preserve">____________________ </t>
    </r>
    <r>
      <rPr>
        <b/>
        <sz val="11"/>
        <rFont val="Times New Roman"/>
        <family val="1"/>
        <charset val="204"/>
      </rPr>
      <t>М.Ю. Чемоданов</t>
    </r>
  </si>
  <si>
    <t>Ведущий специалист сектора закупки услуг КС ОЗУ</t>
  </si>
  <si>
    <r>
      <t xml:space="preserve">____________________ </t>
    </r>
    <r>
      <rPr>
        <b/>
        <sz val="11"/>
        <rFont val="Times New Roman"/>
        <family val="1"/>
        <charset val="204"/>
      </rPr>
      <t>А.И. Детков</t>
    </r>
  </si>
  <si>
    <t>ООО "Промфинстрой"</t>
  </si>
  <si>
    <t>Пр.9.1.</t>
  </si>
  <si>
    <t>Сводная табл.</t>
  </si>
  <si>
    <t>Пр. 9.2.</t>
  </si>
  <si>
    <t>Комплекс работ по Монтажу установки герметичного налива нефтепродуктов в Ж/Д цистерны в цехе №13 тит.212.</t>
  </si>
  <si>
    <t>Цены указаны в руб. с НДС</t>
  </si>
  <si>
    <t>Этапы строительства (месяцы)</t>
  </si>
  <si>
    <t>1. Оценки влияния аванса на стоимость оферты  с учетом графика погашения аванса</t>
  </si>
  <si>
    <t>4. Формула расчета удорожания оферты при запросе участником закупки аванса</t>
  </si>
  <si>
    <t>4=аванс*2</t>
  </si>
  <si>
    <t>Размер погашения аванса по графику,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</si>
</sst>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00_)"/>
    <numFmt numFmtId="166" formatCode="_(&quot;$&quot;* #,##0.00_);_(&quot;$&quot;* \(#,##0.00\);_(&quot;$&quot;* &quot;-&quot;??_);_(@_)"/>
    <numFmt numFmtId="167" formatCode="#,##0.000"/>
    <numFmt numFmtId="168" formatCode="#,##0.0000"/>
    <numFmt numFmtId="169" formatCode="0.0%"/>
    <numFmt numFmtId="170" formatCode="#,##0.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F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0" fontId="17" fillId="0" borderId="0"/>
    <xf numFmtId="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20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12" fillId="0" borderId="0" xfId="33"/>
    <xf numFmtId="0" fontId="20" fillId="0" borderId="0" xfId="33" applyFont="1" applyAlignment="1">
      <alignment horizontal="left"/>
    </xf>
    <xf numFmtId="17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167" fontId="20" fillId="0" borderId="2" xfId="33" applyNumberFormat="1" applyFont="1" applyBorder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center" vertical="center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0" fontId="20" fillId="3" borderId="2" xfId="33" applyFont="1" applyFill="1" applyBorder="1" applyAlignment="1">
      <alignment horizontal="center" vertical="center" wrapText="1"/>
    </xf>
    <xf numFmtId="0" fontId="20" fillId="5" borderId="2" xfId="33" applyFont="1" applyFill="1" applyBorder="1" applyAlignment="1">
      <alignment horizontal="center" vertical="center" wrapText="1"/>
    </xf>
    <xf numFmtId="0" fontId="20" fillId="4" borderId="2" xfId="33" applyFont="1" applyFill="1" applyBorder="1" applyAlignment="1">
      <alignment horizontal="center" vertical="center" wrapText="1"/>
    </xf>
    <xf numFmtId="3" fontId="21" fillId="4" borderId="2" xfId="33" applyNumberFormat="1" applyFont="1" applyFill="1" applyBorder="1" applyAlignment="1">
      <alignment horizontal="center" vertical="center"/>
    </xf>
    <xf numFmtId="0" fontId="21" fillId="4" borderId="2" xfId="33" applyFont="1" applyFill="1" applyBorder="1" applyAlignment="1">
      <alignment horizontal="center" vertical="center"/>
    </xf>
    <xf numFmtId="169" fontId="23" fillId="0" borderId="0" xfId="33" applyNumberFormat="1" applyFont="1" applyAlignment="1">
      <alignment horizontal="center" vertical="center"/>
    </xf>
    <xf numFmtId="169" fontId="24" fillId="0" borderId="0" xfId="33" applyNumberFormat="1" applyFont="1" applyAlignment="1">
      <alignment horizontal="center" vertical="center"/>
    </xf>
    <xf numFmtId="0" fontId="21" fillId="0" borderId="0" xfId="33" applyFont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9" fontId="20" fillId="4" borderId="2" xfId="33" applyNumberFormat="1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7" fillId="3" borderId="2" xfId="33" applyFont="1" applyFill="1" applyBorder="1" applyAlignment="1">
      <alignment horizontal="center" vertical="center" wrapText="1"/>
    </xf>
    <xf numFmtId="4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left" vertical="center" wrapText="1"/>
    </xf>
    <xf numFmtId="4" fontId="27" fillId="0" borderId="2" xfId="33" applyNumberFormat="1" applyFont="1" applyFill="1" applyBorder="1" applyAlignment="1">
      <alignment horizontal="center" vertical="center" wrapText="1"/>
    </xf>
    <xf numFmtId="3" fontId="20" fillId="0" borderId="2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0" fontId="12" fillId="0" borderId="0" xfId="33" applyFont="1"/>
    <xf numFmtId="0" fontId="20" fillId="3" borderId="11" xfId="33" applyFont="1" applyFill="1" applyBorder="1" applyAlignment="1">
      <alignment horizontal="center" vertical="center" wrapText="1"/>
    </xf>
    <xf numFmtId="0" fontId="20" fillId="3" borderId="13" xfId="33" applyFont="1" applyFill="1" applyBorder="1" applyAlignment="1">
      <alignment horizontal="center" vertical="center" wrapText="1"/>
    </xf>
    <xf numFmtId="0" fontId="27" fillId="3" borderId="14" xfId="33" applyFont="1" applyFill="1" applyBorder="1" applyAlignment="1">
      <alignment horizontal="center" vertical="center" wrapText="1"/>
    </xf>
    <xf numFmtId="0" fontId="27" fillId="3" borderId="15" xfId="33" applyFont="1" applyFill="1" applyBorder="1" applyAlignment="1">
      <alignment horizontal="center" vertical="center" wrapText="1"/>
    </xf>
    <xf numFmtId="0" fontId="27" fillId="3" borderId="5" xfId="33" applyFont="1" applyFill="1" applyBorder="1" applyAlignment="1">
      <alignment horizontal="center" vertical="center" wrapText="1"/>
    </xf>
    <xf numFmtId="0" fontId="27" fillId="3" borderId="0" xfId="33" applyFont="1" applyFill="1" applyBorder="1" applyAlignment="1">
      <alignment horizontal="center" vertical="center" wrapText="1"/>
    </xf>
    <xf numFmtId="49" fontId="27" fillId="6" borderId="16" xfId="33" applyNumberFormat="1" applyFont="1" applyFill="1" applyBorder="1" applyAlignment="1">
      <alignment horizontal="center" vertical="center" wrapText="1"/>
    </xf>
    <xf numFmtId="0" fontId="27" fillId="6" borderId="17" xfId="33" applyFont="1" applyFill="1" applyBorder="1" applyAlignment="1">
      <alignment horizontal="left" vertical="center" wrapText="1"/>
    </xf>
    <xf numFmtId="4" fontId="27" fillId="7" borderId="16" xfId="33" applyNumberFormat="1" applyFont="1" applyFill="1" applyBorder="1" applyAlignment="1">
      <alignment horizontal="center" vertical="center" wrapText="1"/>
    </xf>
    <xf numFmtId="0" fontId="27" fillId="6" borderId="18" xfId="33" applyFont="1" applyFill="1" applyBorder="1" applyAlignment="1">
      <alignment horizontal="center" vertical="center" wrapText="1"/>
    </xf>
    <xf numFmtId="0" fontId="27" fillId="6" borderId="16" xfId="33" applyFont="1" applyFill="1" applyBorder="1" applyAlignment="1">
      <alignment horizontal="center" vertical="center" wrapText="1"/>
    </xf>
    <xf numFmtId="3" fontId="27" fillId="6" borderId="19" xfId="33" applyNumberFormat="1" applyFont="1" applyFill="1" applyBorder="1" applyAlignment="1">
      <alignment horizontal="center" vertical="center" wrapText="1"/>
    </xf>
    <xf numFmtId="3" fontId="27" fillId="6" borderId="20" xfId="33" applyNumberFormat="1" applyFont="1" applyFill="1" applyBorder="1" applyAlignment="1">
      <alignment horizontal="center" vertical="center" wrapText="1"/>
    </xf>
    <xf numFmtId="3" fontId="27" fillId="6" borderId="18" xfId="33" applyNumberFormat="1" applyFont="1" applyFill="1" applyBorder="1" applyAlignment="1">
      <alignment horizontal="center" vertical="center" wrapText="1"/>
    </xf>
    <xf numFmtId="0" fontId="27" fillId="6" borderId="21" xfId="33" applyFont="1" applyFill="1" applyBorder="1" applyAlignment="1">
      <alignment horizontal="center" vertical="center" wrapText="1"/>
    </xf>
    <xf numFmtId="49" fontId="20" fillId="8" borderId="14" xfId="33" applyNumberFormat="1" applyFont="1" applyFill="1" applyBorder="1" applyAlignment="1">
      <alignment horizontal="center" vertical="center" wrapText="1"/>
    </xf>
    <xf numFmtId="0" fontId="21" fillId="8" borderId="22" xfId="33" applyFont="1" applyFill="1" applyBorder="1" applyAlignment="1">
      <alignment horizontal="center" vertical="center" wrapText="1"/>
    </xf>
    <xf numFmtId="3" fontId="20" fillId="8" borderId="14" xfId="33" applyNumberFormat="1" applyFont="1" applyFill="1" applyBorder="1" applyAlignment="1">
      <alignment horizontal="center" vertical="center" wrapText="1"/>
    </xf>
    <xf numFmtId="0" fontId="20" fillId="8" borderId="15" xfId="33" applyFont="1" applyFill="1" applyBorder="1" applyAlignment="1">
      <alignment horizontal="center" vertical="center" wrapText="1"/>
    </xf>
    <xf numFmtId="0" fontId="27" fillId="8" borderId="14" xfId="33" applyFont="1" applyFill="1" applyBorder="1" applyAlignment="1">
      <alignment horizontal="center" vertical="center" wrapText="1"/>
    </xf>
    <xf numFmtId="3" fontId="27" fillId="8" borderId="15" xfId="33" applyNumberFormat="1" applyFont="1" applyFill="1" applyBorder="1" applyAlignment="1">
      <alignment horizontal="center" vertical="center" wrapText="1"/>
    </xf>
    <xf numFmtId="3" fontId="27" fillId="8" borderId="5" xfId="33" applyNumberFormat="1" applyFont="1" applyFill="1" applyBorder="1" applyAlignment="1">
      <alignment horizontal="center" vertical="center" wrapText="1"/>
    </xf>
    <xf numFmtId="3" fontId="27" fillId="8" borderId="18" xfId="33" applyNumberFormat="1" applyFont="1" applyFill="1" applyBorder="1" applyAlignment="1">
      <alignment horizontal="center" vertical="center" wrapText="1"/>
    </xf>
    <xf numFmtId="0" fontId="27" fillId="8" borderId="23" xfId="33" applyFont="1" applyFill="1" applyBorder="1" applyAlignment="1">
      <alignment horizontal="center" vertical="center" wrapText="1"/>
    </xf>
    <xf numFmtId="49" fontId="20" fillId="0" borderId="24" xfId="33" applyNumberFormat="1" applyFont="1" applyBorder="1" applyAlignment="1">
      <alignment horizontal="center" vertical="center" wrapText="1"/>
    </xf>
    <xf numFmtId="0" fontId="20" fillId="0" borderId="25" xfId="33" applyFont="1" applyBorder="1" applyAlignment="1">
      <alignment horizontal="left" vertical="center" wrapText="1"/>
    </xf>
    <xf numFmtId="3" fontId="27" fillId="0" borderId="24" xfId="33" applyNumberFormat="1" applyFont="1" applyFill="1" applyBorder="1" applyAlignment="1">
      <alignment horizontal="center" vertical="center" wrapText="1"/>
    </xf>
    <xf numFmtId="9" fontId="29" fillId="0" borderId="26" xfId="33" applyNumberFormat="1" applyFont="1" applyFill="1" applyBorder="1" applyAlignment="1">
      <alignment horizontal="center" vertical="center" wrapText="1"/>
    </xf>
    <xf numFmtId="3" fontId="27" fillId="9" borderId="24" xfId="33" applyNumberFormat="1" applyFont="1" applyFill="1" applyBorder="1" applyAlignment="1">
      <alignment horizontal="center" vertical="center" wrapText="1"/>
    </xf>
    <xf numFmtId="3" fontId="20" fillId="7" borderId="27" xfId="33" applyNumberFormat="1" applyFont="1" applyFill="1" applyBorder="1" applyAlignment="1">
      <alignment horizontal="center" vertical="center" wrapText="1"/>
    </xf>
    <xf numFmtId="3" fontId="20" fillId="9" borderId="4" xfId="33" applyNumberFormat="1" applyFont="1" applyFill="1" applyBorder="1" applyAlignment="1">
      <alignment horizontal="center" vertical="center" wrapText="1"/>
    </xf>
    <xf numFmtId="3" fontId="20" fillId="7" borderId="1" xfId="33" applyNumberFormat="1" applyFont="1" applyFill="1" applyBorder="1" applyAlignment="1">
      <alignment horizontal="center" vertical="center" wrapText="1"/>
    </xf>
    <xf numFmtId="3" fontId="27" fillId="9" borderId="28" xfId="33" applyNumberFormat="1" applyFont="1" applyFill="1" applyBorder="1" applyAlignment="1">
      <alignment horizontal="center" vertical="center" wrapText="1"/>
    </xf>
    <xf numFmtId="3" fontId="20" fillId="0" borderId="27" xfId="33" applyNumberFormat="1" applyFont="1" applyFill="1" applyBorder="1" applyAlignment="1">
      <alignment horizontal="center" vertical="center" wrapText="1"/>
    </xf>
    <xf numFmtId="49" fontId="20" fillId="0" borderId="29" xfId="33" applyNumberFormat="1" applyFont="1" applyBorder="1" applyAlignment="1">
      <alignment horizontal="center" vertical="center" wrapText="1"/>
    </xf>
    <xf numFmtId="0" fontId="20" fillId="0" borderId="30" xfId="33" applyFont="1" applyBorder="1" applyAlignment="1">
      <alignment horizontal="left" vertical="center" wrapText="1"/>
    </xf>
    <xf numFmtId="4" fontId="27" fillId="9" borderId="29" xfId="33" applyNumberFormat="1" applyFont="1" applyFill="1" applyBorder="1" applyAlignment="1">
      <alignment horizontal="center" vertical="center" wrapText="1"/>
    </xf>
    <xf numFmtId="3" fontId="20" fillId="0" borderId="33" xfId="33" applyNumberFormat="1" applyFont="1" applyFill="1" applyBorder="1" applyAlignment="1">
      <alignment horizontal="center" vertical="center" wrapText="1"/>
    </xf>
    <xf numFmtId="4" fontId="20" fillId="0" borderId="34" xfId="33" applyNumberFormat="1" applyFont="1" applyFill="1" applyBorder="1" applyAlignment="1">
      <alignment horizontal="center" vertical="center" wrapText="1"/>
    </xf>
    <xf numFmtId="3" fontId="20" fillId="0" borderId="35" xfId="33" applyNumberFormat="1" applyFont="1" applyFill="1" applyBorder="1" applyAlignment="1">
      <alignment horizontal="center" vertical="center" wrapText="1"/>
    </xf>
    <xf numFmtId="9" fontId="30" fillId="0" borderId="29" xfId="33" applyNumberFormat="1" applyFont="1" applyFill="1" applyBorder="1" applyAlignment="1">
      <alignment horizontal="center" vertical="center" wrapText="1"/>
    </xf>
    <xf numFmtId="9" fontId="27" fillId="9" borderId="29" xfId="33" applyNumberFormat="1" applyFont="1" applyFill="1" applyBorder="1" applyAlignment="1">
      <alignment horizontal="center" vertical="center" wrapText="1"/>
    </xf>
    <xf numFmtId="9" fontId="12" fillId="0" borderId="0" xfId="33" applyNumberFormat="1"/>
    <xf numFmtId="9" fontId="29" fillId="0" borderId="35" xfId="33" applyNumberFormat="1" applyFont="1" applyFill="1" applyBorder="1" applyAlignment="1">
      <alignment horizontal="center" vertical="center" wrapText="1"/>
    </xf>
    <xf numFmtId="3" fontId="27" fillId="0" borderId="29" xfId="33" applyNumberFormat="1" applyFont="1" applyFill="1" applyBorder="1" applyAlignment="1">
      <alignment horizontal="center" vertical="center" wrapText="1"/>
    </xf>
    <xf numFmtId="3" fontId="20" fillId="0" borderId="34" xfId="33" applyNumberFormat="1" applyFont="1" applyFill="1" applyBorder="1" applyAlignment="1">
      <alignment horizontal="center" vertical="center" wrapText="1"/>
    </xf>
    <xf numFmtId="3" fontId="27" fillId="0" borderId="33" xfId="33" applyNumberFormat="1" applyFont="1" applyFill="1" applyBorder="1" applyAlignment="1">
      <alignment horizontal="center" vertical="center" wrapText="1"/>
    </xf>
    <xf numFmtId="9" fontId="27" fillId="9" borderId="34" xfId="33" applyNumberFormat="1" applyFont="1" applyFill="1" applyBorder="1" applyAlignment="1">
      <alignment horizontal="center" vertical="center" wrapText="1"/>
    </xf>
    <xf numFmtId="3" fontId="27" fillId="0" borderId="35" xfId="33" applyNumberFormat="1" applyFont="1" applyFill="1" applyBorder="1" applyAlignment="1">
      <alignment horizontal="center" vertical="center" wrapText="1"/>
    </xf>
    <xf numFmtId="9" fontId="27" fillId="0" borderId="35" xfId="33" applyNumberFormat="1" applyFont="1" applyFill="1" applyBorder="1" applyAlignment="1">
      <alignment horizontal="center" vertical="center" wrapText="1"/>
    </xf>
    <xf numFmtId="3" fontId="27" fillId="0" borderId="34" xfId="33" applyNumberFormat="1" applyFont="1" applyFill="1" applyBorder="1" applyAlignment="1">
      <alignment horizontal="center" vertical="center" wrapText="1"/>
    </xf>
    <xf numFmtId="169" fontId="29" fillId="0" borderId="35" xfId="33" applyNumberFormat="1" applyFont="1" applyFill="1" applyBorder="1" applyAlignment="1">
      <alignment horizontal="center" vertical="center" wrapText="1"/>
    </xf>
    <xf numFmtId="10" fontId="27" fillId="9" borderId="29" xfId="33" applyNumberFormat="1" applyFont="1" applyFill="1" applyBorder="1" applyAlignment="1">
      <alignment horizontal="center" vertical="center" wrapText="1"/>
    </xf>
    <xf numFmtId="3" fontId="20" fillId="7" borderId="33" xfId="33" applyNumberFormat="1" applyFont="1" applyFill="1" applyBorder="1" applyAlignment="1">
      <alignment horizontal="center" vertical="center" wrapText="1"/>
    </xf>
    <xf numFmtId="10" fontId="20" fillId="9" borderId="34" xfId="33" applyNumberFormat="1" applyFont="1" applyFill="1" applyBorder="1" applyAlignment="1">
      <alignment horizontal="center" vertical="center" wrapText="1"/>
    </xf>
    <xf numFmtId="3" fontId="20" fillId="7" borderId="35" xfId="33" applyNumberFormat="1" applyFont="1" applyFill="1" applyBorder="1" applyAlignment="1">
      <alignment horizontal="center" vertical="center" wrapText="1"/>
    </xf>
    <xf numFmtId="49" fontId="20" fillId="0" borderId="31" xfId="33" applyNumberFormat="1" applyFont="1" applyBorder="1" applyAlignment="1">
      <alignment horizontal="center" vertical="center" wrapText="1"/>
    </xf>
    <xf numFmtId="0" fontId="20" fillId="0" borderId="39" xfId="33" applyFont="1" applyBorder="1" applyAlignment="1">
      <alignment horizontal="left" vertical="center" wrapText="1"/>
    </xf>
    <xf numFmtId="3" fontId="27" fillId="0" borderId="31" xfId="33" applyNumberFormat="1" applyFont="1" applyBorder="1" applyAlignment="1">
      <alignment horizontal="center" vertical="center" wrapText="1"/>
    </xf>
    <xf numFmtId="169" fontId="23" fillId="0" borderId="32" xfId="33" applyNumberFormat="1" applyFont="1" applyBorder="1" applyAlignment="1">
      <alignment horizontal="center" vertical="center" wrapText="1"/>
    </xf>
    <xf numFmtId="170" fontId="27" fillId="0" borderId="31" xfId="33" applyNumberFormat="1" applyFont="1" applyFill="1" applyBorder="1" applyAlignment="1">
      <alignment horizontal="center" vertical="center" wrapText="1"/>
    </xf>
    <xf numFmtId="170" fontId="20" fillId="0" borderId="40" xfId="33" applyNumberFormat="1" applyFont="1" applyFill="1" applyBorder="1" applyAlignment="1">
      <alignment horizontal="center" vertical="center" wrapText="1"/>
    </xf>
    <xf numFmtId="170" fontId="20" fillId="0" borderId="41" xfId="33" applyNumberFormat="1" applyFont="1" applyFill="1" applyBorder="1" applyAlignment="1">
      <alignment horizontal="center" vertical="center" wrapText="1"/>
    </xf>
    <xf numFmtId="170" fontId="20" fillId="0" borderId="13" xfId="33" applyNumberFormat="1" applyFont="1" applyFill="1" applyBorder="1" applyAlignment="1">
      <alignment horizontal="center" vertical="center" wrapText="1"/>
    </xf>
    <xf numFmtId="3" fontId="27" fillId="6" borderId="16" xfId="33" applyNumberFormat="1" applyFont="1" applyFill="1" applyBorder="1" applyAlignment="1">
      <alignment horizontal="center" vertical="center" wrapText="1"/>
    </xf>
    <xf numFmtId="3" fontId="27" fillId="6" borderId="17" xfId="33" applyNumberFormat="1" applyFont="1" applyFill="1" applyBorder="1" applyAlignment="1">
      <alignment horizontal="center" vertical="center" wrapText="1"/>
    </xf>
    <xf numFmtId="0" fontId="20" fillId="8" borderId="11" xfId="33" applyFont="1" applyFill="1" applyBorder="1" applyAlignment="1">
      <alignment horizontal="center" vertical="center" wrapText="1"/>
    </xf>
    <xf numFmtId="0" fontId="21" fillId="8" borderId="12" xfId="33" applyFont="1" applyFill="1" applyBorder="1" applyAlignment="1">
      <alignment horizontal="center" vertical="center" wrapText="1"/>
    </xf>
    <xf numFmtId="3" fontId="20" fillId="8" borderId="11" xfId="33" applyNumberFormat="1" applyFont="1" applyFill="1" applyBorder="1" applyAlignment="1">
      <alignment horizontal="center" vertical="center" wrapText="1"/>
    </xf>
    <xf numFmtId="0" fontId="20" fillId="8" borderId="13" xfId="33" applyFont="1" applyFill="1" applyBorder="1" applyAlignment="1">
      <alignment horizontal="center" vertical="center" wrapText="1"/>
    </xf>
    <xf numFmtId="0" fontId="27" fillId="8" borderId="11" xfId="33" applyFont="1" applyFill="1" applyBorder="1" applyAlignment="1">
      <alignment horizontal="center" vertical="center" wrapText="1"/>
    </xf>
    <xf numFmtId="3" fontId="27" fillId="8" borderId="13" xfId="33" applyNumberFormat="1" applyFont="1" applyFill="1" applyBorder="1" applyAlignment="1">
      <alignment horizontal="center" vertical="center" wrapText="1"/>
    </xf>
    <xf numFmtId="3" fontId="27" fillId="8" borderId="42" xfId="33" applyNumberFormat="1" applyFont="1" applyFill="1" applyBorder="1" applyAlignment="1">
      <alignment horizontal="center" vertical="center" wrapText="1"/>
    </xf>
    <xf numFmtId="3" fontId="27" fillId="8" borderId="12" xfId="33" applyNumberFormat="1" applyFont="1" applyFill="1" applyBorder="1" applyAlignment="1">
      <alignment horizontal="center" vertical="center" wrapText="1"/>
    </xf>
    <xf numFmtId="3" fontId="27" fillId="0" borderId="6" xfId="33" applyNumberFormat="1" applyFont="1" applyFill="1" applyBorder="1" applyAlignment="1">
      <alignment horizontal="center" vertical="center" wrapText="1"/>
    </xf>
    <xf numFmtId="9" fontId="29" fillId="0" borderId="8" xfId="33" applyNumberFormat="1" applyFont="1" applyFill="1" applyBorder="1" applyAlignment="1">
      <alignment horizontal="center" vertical="center" wrapText="1"/>
    </xf>
    <xf numFmtId="3" fontId="20" fillId="7" borderId="25" xfId="33" applyNumberFormat="1" applyFont="1" applyFill="1" applyBorder="1" applyAlignment="1">
      <alignment horizontal="center" vertical="center" wrapText="1"/>
    </xf>
    <xf numFmtId="3" fontId="20" fillId="0" borderId="30" xfId="33" applyNumberFormat="1" applyFont="1" applyFill="1" applyBorder="1" applyAlignment="1">
      <alignment horizontal="center" vertical="center" wrapText="1"/>
    </xf>
    <xf numFmtId="9" fontId="27" fillId="5" borderId="29" xfId="33" applyNumberFormat="1" applyFont="1" applyFill="1" applyBorder="1" applyAlignment="1">
      <alignment horizontal="center" vertical="center" wrapText="1"/>
    </xf>
    <xf numFmtId="0" fontId="20" fillId="6" borderId="16" xfId="33" applyFont="1" applyFill="1" applyBorder="1" applyAlignment="1">
      <alignment horizontal="center" vertical="center" wrapText="1"/>
    </xf>
    <xf numFmtId="0" fontId="20" fillId="6" borderId="17" xfId="33" applyFont="1" applyFill="1" applyBorder="1" applyAlignment="1">
      <alignment horizontal="left" vertical="center" wrapText="1"/>
    </xf>
    <xf numFmtId="3" fontId="20" fillId="6" borderId="16" xfId="33" applyNumberFormat="1" applyFont="1" applyFill="1" applyBorder="1" applyAlignment="1">
      <alignment horizontal="center" vertical="center" wrapText="1"/>
    </xf>
    <xf numFmtId="0" fontId="20" fillId="6" borderId="18" xfId="33" applyFont="1" applyFill="1" applyBorder="1" applyAlignment="1">
      <alignment horizontal="center" vertical="center" wrapText="1"/>
    </xf>
    <xf numFmtId="3" fontId="20" fillId="6" borderId="19" xfId="33" applyNumberFormat="1" applyFont="1" applyFill="1" applyBorder="1" applyAlignment="1">
      <alignment horizontal="center" vertical="center" wrapText="1"/>
    </xf>
    <xf numFmtId="3" fontId="20" fillId="6" borderId="20" xfId="33" applyNumberFormat="1" applyFont="1" applyFill="1" applyBorder="1" applyAlignment="1">
      <alignment horizontal="center" vertical="center" wrapText="1"/>
    </xf>
    <xf numFmtId="3" fontId="20" fillId="6" borderId="17" xfId="33" applyNumberFormat="1" applyFont="1" applyFill="1" applyBorder="1" applyAlignment="1">
      <alignment horizontal="center" vertical="center" wrapText="1"/>
    </xf>
    <xf numFmtId="0" fontId="20" fillId="10" borderId="16" xfId="33" applyFont="1" applyFill="1" applyBorder="1" applyAlignment="1">
      <alignment horizontal="center" vertical="center" wrapText="1"/>
    </xf>
    <xf numFmtId="0" fontId="20" fillId="10" borderId="17" xfId="33" applyFont="1" applyFill="1" applyBorder="1" applyAlignment="1">
      <alignment horizontal="left" vertical="center" wrapText="1"/>
    </xf>
    <xf numFmtId="3" fontId="20" fillId="10" borderId="16" xfId="33" applyNumberFormat="1" applyFont="1" applyFill="1" applyBorder="1" applyAlignment="1">
      <alignment horizontal="center" vertical="center" wrapText="1"/>
    </xf>
    <xf numFmtId="0" fontId="20" fillId="10" borderId="18" xfId="33" applyFont="1" applyFill="1" applyBorder="1" applyAlignment="1">
      <alignment horizontal="center" vertical="center" wrapText="1"/>
    </xf>
    <xf numFmtId="0" fontId="27" fillId="10" borderId="16" xfId="33" applyFont="1" applyFill="1" applyBorder="1" applyAlignment="1">
      <alignment horizontal="center" vertical="center" wrapText="1"/>
    </xf>
    <xf numFmtId="3" fontId="21" fillId="10" borderId="19" xfId="33" applyNumberFormat="1" applyFont="1" applyFill="1" applyBorder="1" applyAlignment="1">
      <alignment horizontal="center" vertical="center" wrapText="1"/>
    </xf>
    <xf numFmtId="3" fontId="21" fillId="10" borderId="20" xfId="33" applyNumberFormat="1" applyFont="1" applyFill="1" applyBorder="1" applyAlignment="1">
      <alignment horizontal="center" vertical="center" wrapText="1"/>
    </xf>
    <xf numFmtId="3" fontId="21" fillId="10" borderId="43" xfId="33" applyNumberFormat="1" applyFont="1" applyFill="1" applyBorder="1" applyAlignment="1">
      <alignment horizontal="center" vertical="center" wrapText="1"/>
    </xf>
    <xf numFmtId="0" fontId="25" fillId="10" borderId="16" xfId="33" applyFont="1" applyFill="1" applyBorder="1" applyAlignment="1">
      <alignment horizontal="center" vertical="center" wrapText="1"/>
    </xf>
    <xf numFmtId="0" fontId="20" fillId="0" borderId="14" xfId="33" applyFont="1" applyBorder="1"/>
    <xf numFmtId="0" fontId="20" fillId="0" borderId="45" xfId="33" applyFont="1" applyBorder="1"/>
    <xf numFmtId="0" fontId="20" fillId="0" borderId="23" xfId="33" applyFont="1" applyBorder="1"/>
    <xf numFmtId="169" fontId="23" fillId="0" borderId="18" xfId="33" applyNumberFormat="1" applyFont="1" applyBorder="1"/>
    <xf numFmtId="169" fontId="23" fillId="0" borderId="5" xfId="33" applyNumberFormat="1" applyFont="1" applyBorder="1"/>
    <xf numFmtId="169" fontId="23" fillId="0" borderId="2" xfId="33" applyNumberFormat="1" applyFont="1" applyBorder="1"/>
    <xf numFmtId="169" fontId="23" fillId="0" borderId="15" xfId="33" applyNumberFormat="1" applyFont="1" applyBorder="1"/>
    <xf numFmtId="0" fontId="23" fillId="0" borderId="0" xfId="33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/>
    <xf numFmtId="0" fontId="27" fillId="0" borderId="0" xfId="0" applyFont="1" applyBorder="1" applyAlignment="1">
      <alignment horizontal="center" vertical="top" wrapText="1"/>
    </xf>
    <xf numFmtId="0" fontId="21" fillId="0" borderId="0" xfId="33" applyFont="1" applyBorder="1" applyAlignment="1">
      <alignment horizontal="center" vertical="center" wrapText="1"/>
    </xf>
    <xf numFmtId="0" fontId="0" fillId="0" borderId="4" xfId="0" applyBorder="1" applyAlignment="1"/>
    <xf numFmtId="0" fontId="28" fillId="0" borderId="0" xfId="33" applyFont="1" applyBorder="1" applyAlignment="1">
      <alignment horizontal="left" vertical="center"/>
    </xf>
    <xf numFmtId="0" fontId="26" fillId="0" borderId="4" xfId="0" applyFont="1" applyBorder="1" applyAlignment="1">
      <alignment horizontal="left"/>
    </xf>
    <xf numFmtId="0" fontId="26" fillId="0" borderId="0" xfId="0" applyFont="1" applyBorder="1" applyAlignment="1">
      <alignment horizontal="left" wrapText="1"/>
    </xf>
    <xf numFmtId="0" fontId="0" fillId="0" borderId="0" xfId="0" applyFont="1" applyBorder="1" applyAlignment="1"/>
    <xf numFmtId="4" fontId="20" fillId="0" borderId="2" xfId="33" applyNumberFormat="1" applyFont="1" applyFill="1" applyBorder="1" applyAlignment="1">
      <alignment horizontal="center" vertical="center" wrapText="1"/>
    </xf>
    <xf numFmtId="49" fontId="27" fillId="11" borderId="2" xfId="33" applyNumberFormat="1" applyFont="1" applyFill="1" applyBorder="1" applyAlignment="1">
      <alignment horizontal="center" vertical="center" wrapText="1"/>
    </xf>
    <xf numFmtId="0" fontId="25" fillId="11" borderId="2" xfId="33" applyFont="1" applyFill="1" applyBorder="1" applyAlignment="1">
      <alignment horizontal="left" vertical="center" wrapText="1"/>
    </xf>
    <xf numFmtId="4" fontId="25" fillId="11" borderId="2" xfId="33" applyNumberFormat="1" applyFont="1" applyFill="1" applyBorder="1" applyAlignment="1">
      <alignment horizontal="center" vertical="center" wrapText="1"/>
    </xf>
    <xf numFmtId="3" fontId="27" fillId="11" borderId="2" xfId="33" applyNumberFormat="1" applyFont="1" applyFill="1" applyBorder="1" applyAlignment="1">
      <alignment horizontal="center" vertical="center" wrapText="1"/>
    </xf>
    <xf numFmtId="10" fontId="23" fillId="0" borderId="0" xfId="33" applyNumberFormat="1" applyFont="1" applyAlignment="1">
      <alignment horizontal="center" vertical="center"/>
    </xf>
    <xf numFmtId="3" fontId="20" fillId="12" borderId="33" xfId="33" applyNumberFormat="1" applyFont="1" applyFill="1" applyBorder="1" applyAlignment="1">
      <alignment horizontal="center" vertical="center" wrapText="1"/>
    </xf>
    <xf numFmtId="3" fontId="20" fillId="12" borderId="0" xfId="33" applyNumberFormat="1" applyFont="1" applyFill="1" applyAlignment="1">
      <alignment horizontal="center" vertical="center"/>
    </xf>
    <xf numFmtId="49" fontId="20" fillId="0" borderId="2" xfId="33" applyNumberFormat="1" applyFont="1" applyFill="1" applyBorder="1" applyAlignment="1">
      <alignment horizontal="center" vertical="center" wrapText="1"/>
    </xf>
    <xf numFmtId="0" fontId="20" fillId="0" borderId="2" xfId="33" applyFont="1" applyFill="1" applyBorder="1" applyAlignment="1">
      <alignment horizontal="left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right"/>
    </xf>
    <xf numFmtId="0" fontId="21" fillId="0" borderId="0" xfId="33" applyFont="1" applyBorder="1" applyAlignment="1">
      <alignment horizontal="center" vertical="center" wrapText="1"/>
    </xf>
    <xf numFmtId="0" fontId="28" fillId="0" borderId="5" xfId="33" applyFont="1" applyBorder="1" applyAlignment="1">
      <alignment horizontal="left" wrapText="1"/>
    </xf>
    <xf numFmtId="0" fontId="26" fillId="0" borderId="5" xfId="0" applyFont="1" applyBorder="1" applyAlignment="1">
      <alignment horizontal="left"/>
    </xf>
    <xf numFmtId="0" fontId="20" fillId="3" borderId="6" xfId="33" applyFont="1" applyFill="1" applyBorder="1" applyAlignment="1">
      <alignment horizontal="center" vertical="center" wrapText="1"/>
    </xf>
    <xf numFmtId="0" fontId="20" fillId="3" borderId="11" xfId="33" applyFont="1" applyFill="1" applyBorder="1" applyAlignment="1">
      <alignment horizontal="center" vertical="center" wrapText="1"/>
    </xf>
    <xf numFmtId="0" fontId="20" fillId="3" borderId="7" xfId="33" applyFont="1" applyFill="1" applyBorder="1" applyAlignment="1">
      <alignment horizontal="center" vertical="center" wrapText="1"/>
    </xf>
    <xf numFmtId="0" fontId="20" fillId="3" borderId="12" xfId="33" applyFont="1" applyFill="1" applyBorder="1" applyAlignment="1">
      <alignment horizontal="center" vertical="center" wrapText="1"/>
    </xf>
    <xf numFmtId="0" fontId="20" fillId="3" borderId="8" xfId="33" applyFont="1" applyFill="1" applyBorder="1" applyAlignment="1">
      <alignment horizontal="center" vertical="center" wrapText="1"/>
    </xf>
    <xf numFmtId="0" fontId="25" fillId="3" borderId="9" xfId="33" applyFont="1" applyFill="1" applyBorder="1" applyAlignment="1">
      <alignment horizontal="center" vertical="center" wrapText="1"/>
    </xf>
    <xf numFmtId="0" fontId="25" fillId="3" borderId="10" xfId="33" applyFont="1" applyFill="1" applyBorder="1" applyAlignment="1">
      <alignment horizontal="center" vertical="center" wrapText="1"/>
    </xf>
    <xf numFmtId="0" fontId="12" fillId="0" borderId="36" xfId="33" applyBorder="1" applyAlignment="1">
      <alignment horizontal="center"/>
    </xf>
    <xf numFmtId="0" fontId="27" fillId="0" borderId="0" xfId="0" applyFont="1" applyBorder="1" applyAlignment="1">
      <alignment wrapText="1"/>
    </xf>
    <xf numFmtId="0" fontId="32" fillId="0" borderId="0" xfId="0" applyFont="1" applyBorder="1" applyAlignment="1">
      <alignment horizontal="center" vertical="top" wrapText="1"/>
    </xf>
    <xf numFmtId="0" fontId="23" fillId="0" borderId="44" xfId="33" applyFont="1" applyBorder="1"/>
    <xf numFmtId="0" fontId="23" fillId="0" borderId="19" xfId="33" applyFont="1" applyBorder="1"/>
    <xf numFmtId="0" fontId="31" fillId="0" borderId="46" xfId="33" applyFont="1" applyBorder="1" applyAlignment="1">
      <alignment wrapText="1"/>
    </xf>
    <xf numFmtId="0" fontId="31" fillId="0" borderId="0" xfId="33" applyFont="1" applyBorder="1" applyAlignment="1">
      <alignment wrapText="1"/>
    </xf>
    <xf numFmtId="3" fontId="27" fillId="0" borderId="37" xfId="33" applyNumberFormat="1" applyFont="1" applyFill="1" applyBorder="1" applyAlignment="1">
      <alignment horizontal="center" vertical="center" wrapText="1"/>
    </xf>
    <xf numFmtId="3" fontId="27" fillId="0" borderId="14" xfId="33" applyNumberFormat="1" applyFont="1" applyFill="1" applyBorder="1" applyAlignment="1">
      <alignment horizontal="center" vertical="center" wrapText="1"/>
    </xf>
    <xf numFmtId="9" fontId="29" fillId="0" borderId="38" xfId="33" applyNumberFormat="1" applyFont="1" applyFill="1" applyBorder="1" applyAlignment="1">
      <alignment horizontal="center" vertical="center" wrapText="1"/>
    </xf>
    <xf numFmtId="9" fontId="29" fillId="0" borderId="15" xfId="33" applyNumberFormat="1" applyFont="1" applyFill="1" applyBorder="1" applyAlignment="1">
      <alignment horizontal="center" vertical="center" wrapText="1"/>
    </xf>
    <xf numFmtId="3" fontId="27" fillId="0" borderId="31" xfId="33" applyNumberFormat="1" applyFont="1" applyFill="1" applyBorder="1" applyAlignment="1">
      <alignment horizontal="center" vertical="center" wrapText="1"/>
    </xf>
    <xf numFmtId="3" fontId="27" fillId="0" borderId="24" xfId="33" applyNumberFormat="1" applyFont="1" applyFill="1" applyBorder="1" applyAlignment="1">
      <alignment horizontal="center" vertical="center" wrapText="1"/>
    </xf>
    <xf numFmtId="9" fontId="29" fillId="0" borderId="32" xfId="33" applyNumberFormat="1" applyFont="1" applyFill="1" applyBorder="1" applyAlignment="1">
      <alignment horizontal="center" vertical="center" wrapText="1"/>
    </xf>
    <xf numFmtId="9" fontId="29" fillId="0" borderId="26" xfId="33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wrapText="1"/>
    </xf>
    <xf numFmtId="0" fontId="7" fillId="0" borderId="0" xfId="0" applyFont="1" applyBorder="1" applyAlignme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16</xdr:row>
      <xdr:rowOff>165652</xdr:rowOff>
    </xdr:from>
    <xdr:to>
      <xdr:col>6</xdr:col>
      <xdr:colOff>224119</xdr:colOff>
      <xdr:row>27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5761"/>
          <a:ext cx="6610010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tabSelected="1" zoomScale="115" zoomScaleNormal="115" workbookViewId="0">
      <selection activeCell="I4" sqref="I4"/>
    </sheetView>
  </sheetViews>
  <sheetFormatPr defaultRowHeight="15"/>
  <cols>
    <col min="1" max="1" width="14.42578125" style="17" customWidth="1"/>
    <col min="2" max="2" width="16.5703125" style="17" customWidth="1"/>
    <col min="3" max="3" width="16.28515625" style="17" customWidth="1"/>
    <col min="4" max="4" width="18.7109375" style="17" customWidth="1"/>
    <col min="5" max="5" width="16.85546875" style="17" customWidth="1"/>
    <col min="6" max="6" width="13.28515625" style="17" customWidth="1"/>
    <col min="7" max="7" width="13.140625" style="17" customWidth="1"/>
    <col min="8" max="8" width="14.28515625" style="17" customWidth="1"/>
    <col min="9" max="9" width="15.140625" style="17" customWidth="1"/>
    <col min="10" max="16384" width="9.140625" style="17"/>
  </cols>
  <sheetData>
    <row r="1" spans="1:9">
      <c r="E1" s="16"/>
      <c r="F1" s="16"/>
      <c r="G1" s="16" t="s">
        <v>73</v>
      </c>
    </row>
    <row r="2" spans="1:9">
      <c r="E2" s="16"/>
      <c r="F2" s="16"/>
    </row>
    <row r="3" spans="1:9">
      <c r="A3" s="170" t="s">
        <v>155</v>
      </c>
      <c r="B3" s="170"/>
      <c r="C3" s="170"/>
      <c r="D3" s="170"/>
      <c r="E3" s="170"/>
      <c r="F3" s="170"/>
      <c r="G3" s="170"/>
      <c r="H3" s="170"/>
    </row>
    <row r="4" spans="1:9" ht="15" customHeight="1">
      <c r="A4" s="35"/>
      <c r="B4" s="35"/>
      <c r="C4" s="35"/>
      <c r="D4" s="35"/>
      <c r="E4" s="35"/>
      <c r="F4" s="35"/>
      <c r="G4" s="35"/>
      <c r="H4" s="35"/>
    </row>
    <row r="5" spans="1:9">
      <c r="A5" s="23" t="s">
        <v>76</v>
      </c>
      <c r="B5" s="23"/>
      <c r="C5" s="23"/>
      <c r="D5" s="25"/>
      <c r="E5" s="24"/>
      <c r="F5" s="23"/>
      <c r="G5" s="23"/>
      <c r="H5" s="23"/>
    </row>
    <row r="6" spans="1:9">
      <c r="A6" s="23" t="s">
        <v>71</v>
      </c>
      <c r="B6" s="23"/>
      <c r="C6" s="23"/>
      <c r="D6" s="25"/>
      <c r="E6" s="167">
        <v>90</v>
      </c>
      <c r="F6" s="23"/>
      <c r="G6" s="23"/>
      <c r="H6" s="23"/>
    </row>
    <row r="7" spans="1:9">
      <c r="A7" s="23" t="s">
        <v>72</v>
      </c>
      <c r="B7" s="23"/>
      <c r="C7" s="23"/>
      <c r="D7" s="25"/>
      <c r="E7" s="24"/>
      <c r="F7" s="23"/>
      <c r="G7" s="23"/>
      <c r="H7" s="23"/>
    </row>
    <row r="8" spans="1:9">
      <c r="A8" s="18"/>
      <c r="B8" s="18"/>
      <c r="C8" s="18"/>
      <c r="D8" s="18"/>
      <c r="E8" s="18"/>
      <c r="F8" s="18"/>
      <c r="G8" s="18"/>
      <c r="H8" s="18"/>
    </row>
    <row r="9" spans="1:9" ht="48.75" customHeight="1">
      <c r="A9" s="28" t="s">
        <v>154</v>
      </c>
      <c r="B9" s="28" t="s">
        <v>158</v>
      </c>
      <c r="C9" s="28" t="s">
        <v>75</v>
      </c>
      <c r="D9" s="28" t="s">
        <v>74</v>
      </c>
      <c r="E9" s="28" t="s">
        <v>60</v>
      </c>
      <c r="F9" s="28" t="s">
        <v>61</v>
      </c>
      <c r="G9" s="28" t="s">
        <v>62</v>
      </c>
      <c r="H9" s="28" t="s">
        <v>69</v>
      </c>
      <c r="I9" s="28" t="s">
        <v>70</v>
      </c>
    </row>
    <row r="10" spans="1:9" ht="18" customHeight="1">
      <c r="A10" s="29">
        <v>1</v>
      </c>
      <c r="B10" s="29">
        <v>2</v>
      </c>
      <c r="C10" s="29">
        <v>3</v>
      </c>
      <c r="D10" s="29" t="s">
        <v>157</v>
      </c>
      <c r="E10" s="29" t="s">
        <v>64</v>
      </c>
      <c r="F10" s="29" t="s">
        <v>65</v>
      </c>
      <c r="G10" s="29" t="s">
        <v>66</v>
      </c>
      <c r="H10" s="29" t="s">
        <v>67</v>
      </c>
      <c r="I10" s="29" t="s">
        <v>68</v>
      </c>
    </row>
    <row r="11" spans="1:9">
      <c r="A11" s="19"/>
      <c r="B11" s="36"/>
      <c r="C11" s="20"/>
      <c r="D11" s="26"/>
      <c r="E11" s="27"/>
      <c r="F11" s="20"/>
      <c r="G11" s="22"/>
      <c r="H11" s="21"/>
      <c r="I11" s="21"/>
    </row>
    <row r="12" spans="1:9">
      <c r="A12" s="19"/>
      <c r="B12" s="36"/>
      <c r="C12" s="20"/>
      <c r="D12" s="26"/>
      <c r="E12" s="27"/>
      <c r="F12" s="20"/>
      <c r="G12" s="22"/>
      <c r="H12" s="21"/>
      <c r="I12" s="21"/>
    </row>
    <row r="13" spans="1:9">
      <c r="A13" s="19"/>
      <c r="B13" s="36"/>
      <c r="C13" s="20"/>
      <c r="D13" s="26"/>
      <c r="E13" s="27"/>
      <c r="F13" s="20"/>
      <c r="G13" s="22"/>
      <c r="H13" s="21"/>
      <c r="I13" s="21"/>
    </row>
    <row r="14" spans="1:9">
      <c r="A14" s="32" t="s">
        <v>63</v>
      </c>
      <c r="B14" s="37"/>
      <c r="C14" s="30"/>
      <c r="D14" s="31"/>
      <c r="E14" s="32"/>
      <c r="F14" s="32"/>
      <c r="G14" s="32"/>
      <c r="H14" s="31"/>
      <c r="I14" s="31"/>
    </row>
    <row r="15" spans="1:9">
      <c r="A15" s="16"/>
      <c r="B15" s="16"/>
      <c r="C15" s="16"/>
      <c r="D15" s="33"/>
      <c r="E15" s="33"/>
      <c r="F15" s="33"/>
      <c r="G15" s="33"/>
      <c r="H15" s="33"/>
      <c r="I15" s="34"/>
    </row>
    <row r="16" spans="1:9">
      <c r="A16" s="17" t="s">
        <v>156</v>
      </c>
      <c r="B16" s="16"/>
      <c r="C16" s="16"/>
      <c r="D16" s="16"/>
      <c r="E16" s="16"/>
      <c r="F16" s="16"/>
      <c r="G16" s="16"/>
      <c r="H16" s="16"/>
    </row>
  </sheetData>
  <mergeCells count="1">
    <mergeCell ref="A3:H3"/>
  </mergeCells>
  <pageMargins left="0.7" right="0.7" top="0.75" bottom="0.75" header="0.3" footer="0.3"/>
  <pageSetup paperSize="9" scale="9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view="pageBreakPreview" zoomScaleSheetLayoutView="100" workbookViewId="0">
      <pane ySplit="6" topLeftCell="A7" activePane="bottomLeft" state="frozen"/>
      <selection pane="bottomLeft" activeCell="B25" sqref="B25"/>
    </sheetView>
  </sheetViews>
  <sheetFormatPr defaultRowHeight="15"/>
  <cols>
    <col min="1" max="1" width="5.7109375" style="17" customWidth="1"/>
    <col min="2" max="2" width="54.85546875" style="17" customWidth="1"/>
    <col min="3" max="3" width="11.140625" style="17" customWidth="1"/>
    <col min="4" max="4" width="11.7109375" style="17" customWidth="1"/>
    <col min="5" max="5" width="13.140625" style="17" customWidth="1"/>
    <col min="6" max="8" width="13.7109375" style="17" customWidth="1"/>
    <col min="9" max="9" width="12" style="17" customWidth="1"/>
    <col min="10" max="10" width="13" style="17" customWidth="1"/>
    <col min="11" max="11" width="10.140625" style="17" hidden="1" customWidth="1"/>
    <col min="12" max="12" width="12.7109375" style="17" hidden="1" customWidth="1"/>
    <col min="13" max="13" width="10.140625" style="17" hidden="1" customWidth="1"/>
    <col min="14" max="14" width="12.7109375" style="17" hidden="1" customWidth="1"/>
    <col min="15" max="16384" width="9.140625" style="17"/>
  </cols>
  <sheetData>
    <row r="1" spans="1:16">
      <c r="D1" s="171" t="s">
        <v>89</v>
      </c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6" s="45" customFormat="1" ht="47.25" customHeight="1">
      <c r="A2" s="172" t="s">
        <v>90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6" s="45" customFormat="1" ht="10.5" customHeight="1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16" s="45" customFormat="1" ht="13.5" customHeight="1" thickBot="1">
      <c r="A4" s="173" t="s">
        <v>91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5" spans="1:16" ht="32.25" customHeight="1">
      <c r="A5" s="175" t="s">
        <v>92</v>
      </c>
      <c r="B5" s="177" t="s">
        <v>93</v>
      </c>
      <c r="C5" s="175" t="s">
        <v>94</v>
      </c>
      <c r="D5" s="179"/>
      <c r="E5" s="180" t="s">
        <v>95</v>
      </c>
      <c r="F5" s="181"/>
      <c r="G5" s="180" t="s">
        <v>96</v>
      </c>
      <c r="H5" s="181"/>
      <c r="I5" s="180" t="s">
        <v>97</v>
      </c>
      <c r="J5" s="181"/>
      <c r="K5" s="180" t="s">
        <v>97</v>
      </c>
      <c r="L5" s="181"/>
      <c r="M5" s="180" t="s">
        <v>98</v>
      </c>
      <c r="N5" s="181"/>
    </row>
    <row r="6" spans="1:16" ht="30" customHeight="1" thickBot="1">
      <c r="A6" s="176"/>
      <c r="B6" s="178"/>
      <c r="C6" s="46" t="s">
        <v>99</v>
      </c>
      <c r="D6" s="47" t="s">
        <v>100</v>
      </c>
      <c r="E6" s="48" t="s">
        <v>101</v>
      </c>
      <c r="F6" s="49" t="s">
        <v>99</v>
      </c>
      <c r="G6" s="50"/>
      <c r="H6" s="51"/>
      <c r="I6" s="48" t="s">
        <v>101</v>
      </c>
      <c r="J6" s="49" t="s">
        <v>99</v>
      </c>
      <c r="K6" s="48" t="s">
        <v>101</v>
      </c>
      <c r="L6" s="49" t="s">
        <v>99</v>
      </c>
      <c r="M6" s="48" t="s">
        <v>101</v>
      </c>
      <c r="N6" s="49" t="s">
        <v>99</v>
      </c>
    </row>
    <row r="7" spans="1:16" ht="30.75" customHeight="1" thickBot="1">
      <c r="A7" s="52" t="s">
        <v>82</v>
      </c>
      <c r="B7" s="53" t="s">
        <v>102</v>
      </c>
      <c r="C7" s="54">
        <v>263747</v>
      </c>
      <c r="D7" s="55"/>
      <c r="E7" s="56" t="s">
        <v>103</v>
      </c>
      <c r="F7" s="57" t="s">
        <v>103</v>
      </c>
      <c r="G7" s="58" t="s">
        <v>15</v>
      </c>
      <c r="H7" s="59" t="s">
        <v>15</v>
      </c>
      <c r="I7" s="60" t="s">
        <v>103</v>
      </c>
      <c r="J7" s="57" t="s">
        <v>103</v>
      </c>
      <c r="K7" s="56" t="s">
        <v>103</v>
      </c>
      <c r="L7" s="57" t="s">
        <v>103</v>
      </c>
      <c r="M7" s="56" t="s">
        <v>103</v>
      </c>
      <c r="N7" s="57" t="s">
        <v>103</v>
      </c>
    </row>
    <row r="8" spans="1:16" ht="15.75" thickBot="1">
      <c r="A8" s="61"/>
      <c r="B8" s="62" t="s">
        <v>104</v>
      </c>
      <c r="C8" s="63"/>
      <c r="D8" s="64"/>
      <c r="E8" s="65"/>
      <c r="F8" s="66"/>
      <c r="G8" s="67"/>
      <c r="H8" s="68"/>
      <c r="I8" s="69"/>
      <c r="J8" s="66"/>
      <c r="K8" s="65"/>
      <c r="L8" s="66"/>
      <c r="M8" s="65"/>
      <c r="N8" s="66"/>
    </row>
    <row r="9" spans="1:16" ht="18" customHeight="1">
      <c r="A9" s="70" t="s">
        <v>84</v>
      </c>
      <c r="B9" s="71" t="s">
        <v>105</v>
      </c>
      <c r="C9" s="72">
        <f>$C$7*D9</f>
        <v>31649.64</v>
      </c>
      <c r="D9" s="73">
        <v>0.12</v>
      </c>
      <c r="E9" s="74">
        <v>24000</v>
      </c>
      <c r="F9" s="75">
        <f>$C$9*E9/24000</f>
        <v>31649.64</v>
      </c>
      <c r="G9" s="76">
        <v>24500</v>
      </c>
      <c r="H9" s="77">
        <f>$C$9*G9/24000</f>
        <v>32309.0075</v>
      </c>
      <c r="I9" s="78">
        <v>27000</v>
      </c>
      <c r="J9" s="75">
        <f>$C$9*I9/24000</f>
        <v>35605.845000000001</v>
      </c>
      <c r="K9" s="74">
        <v>24000</v>
      </c>
      <c r="L9" s="79">
        <f>$C$9*K9/23000</f>
        <v>33025.711304347824</v>
      </c>
      <c r="M9" s="74">
        <v>30000</v>
      </c>
      <c r="N9" s="79">
        <f>$C$9*M9/23000</f>
        <v>41282.139130434785</v>
      </c>
    </row>
    <row r="10" spans="1:16" ht="20.25" customHeight="1">
      <c r="A10" s="80" t="s">
        <v>86</v>
      </c>
      <c r="B10" s="81" t="s">
        <v>106</v>
      </c>
      <c r="C10" s="193">
        <f>$C$7*D10</f>
        <v>55386.869999999995</v>
      </c>
      <c r="D10" s="195">
        <v>0.21</v>
      </c>
      <c r="E10" s="82">
        <v>1.1499999999999999</v>
      </c>
      <c r="F10" s="83">
        <f>F9*(E10-1)</f>
        <v>4747.4459999999972</v>
      </c>
      <c r="G10" s="84">
        <v>1.1499999999999999</v>
      </c>
      <c r="H10" s="85">
        <f>H9*(G10-1)</f>
        <v>4846.3511249999974</v>
      </c>
      <c r="I10" s="82">
        <v>1.1499999999999999</v>
      </c>
      <c r="J10" s="83">
        <f>J9*(I10-1)</f>
        <v>5340.8767499999967</v>
      </c>
      <c r="K10" s="82">
        <v>1.1499999999999999</v>
      </c>
      <c r="L10" s="83">
        <f>L9*(K10-1)</f>
        <v>4953.8566956521709</v>
      </c>
      <c r="M10" s="82">
        <v>1.1499999999999999</v>
      </c>
      <c r="N10" s="83">
        <f>N9*(M10-1)</f>
        <v>6192.3208695652138</v>
      </c>
      <c r="O10" s="182">
        <f>C7*0.3</f>
        <v>79124.099999999991</v>
      </c>
    </row>
    <row r="11" spans="1:16" ht="22.5">
      <c r="A11" s="80" t="s">
        <v>107</v>
      </c>
      <c r="B11" s="81" t="s">
        <v>108</v>
      </c>
      <c r="C11" s="189"/>
      <c r="D11" s="191"/>
      <c r="E11" s="86" t="s">
        <v>109</v>
      </c>
      <c r="F11" s="166">
        <f>(F9+F10)*0.901</f>
        <v>32793.774485999995</v>
      </c>
      <c r="G11" s="86" t="s">
        <v>109</v>
      </c>
      <c r="H11" s="166">
        <f>(H9+H10)*0.901</f>
        <v>33476.978121124994</v>
      </c>
      <c r="I11" s="86" t="s">
        <v>109</v>
      </c>
      <c r="J11" s="166">
        <f>(J9+J10)*0.901</f>
        <v>36892.996296749996</v>
      </c>
      <c r="K11" s="87"/>
      <c r="L11" s="83"/>
      <c r="M11" s="87"/>
      <c r="N11" s="83"/>
      <c r="O11" s="182"/>
      <c r="P11" s="88">
        <v>0.95</v>
      </c>
    </row>
    <row r="12" spans="1:16" ht="22.5">
      <c r="A12" s="80" t="s">
        <v>110</v>
      </c>
      <c r="B12" s="81" t="s">
        <v>111</v>
      </c>
      <c r="C12" s="194"/>
      <c r="D12" s="196"/>
      <c r="E12" s="86" t="s">
        <v>109</v>
      </c>
      <c r="F12" s="83">
        <f>(F9+F10)*0.52</f>
        <v>18926.484719999997</v>
      </c>
      <c r="G12" s="86" t="s">
        <v>109</v>
      </c>
      <c r="H12" s="85">
        <f>(H9+H10)*0.52</f>
        <v>19320.786484999997</v>
      </c>
      <c r="I12" s="86" t="s">
        <v>109</v>
      </c>
      <c r="J12" s="83">
        <f>(J9+J10)*0.52</f>
        <v>21292.295309999998</v>
      </c>
      <c r="K12" s="87"/>
      <c r="L12" s="83"/>
      <c r="M12" s="87"/>
      <c r="N12" s="83"/>
      <c r="O12" s="182"/>
      <c r="P12" s="88">
        <v>0.65</v>
      </c>
    </row>
    <row r="13" spans="1:16">
      <c r="A13" s="80" t="s">
        <v>112</v>
      </c>
      <c r="B13" s="81" t="s">
        <v>113</v>
      </c>
      <c r="C13" s="72">
        <f>$C$7*D13</f>
        <v>105498.8</v>
      </c>
      <c r="D13" s="89">
        <v>0.4</v>
      </c>
      <c r="E13" s="90" t="s">
        <v>103</v>
      </c>
      <c r="F13" s="83">
        <f>C13</f>
        <v>105498.8</v>
      </c>
      <c r="G13" s="91" t="s">
        <v>15</v>
      </c>
      <c r="H13" s="85">
        <f>C13</f>
        <v>105498.8</v>
      </c>
      <c r="I13" s="90" t="s">
        <v>103</v>
      </c>
      <c r="J13" s="83">
        <f>C13</f>
        <v>105498.8</v>
      </c>
      <c r="K13" s="90" t="s">
        <v>103</v>
      </c>
      <c r="L13" s="83">
        <f>C13</f>
        <v>105498.8</v>
      </c>
      <c r="M13" s="90" t="s">
        <v>103</v>
      </c>
      <c r="N13" s="83">
        <f>C13</f>
        <v>105498.8</v>
      </c>
    </row>
    <row r="14" spans="1:16">
      <c r="A14" s="80" t="s">
        <v>114</v>
      </c>
      <c r="B14" s="81" t="s">
        <v>115</v>
      </c>
      <c r="C14" s="72">
        <f t="shared" ref="C14:C20" si="0">$C$7*D14</f>
        <v>12659.856</v>
      </c>
      <c r="D14" s="89">
        <f>D13*0.12</f>
        <v>4.8000000000000001E-2</v>
      </c>
      <c r="E14" s="87">
        <v>0.12</v>
      </c>
      <c r="F14" s="92">
        <f>F13*E14</f>
        <v>12659.856</v>
      </c>
      <c r="G14" s="93">
        <v>0.12</v>
      </c>
      <c r="H14" s="94">
        <f>H13*G14</f>
        <v>12659.856</v>
      </c>
      <c r="I14" s="87">
        <v>0.12</v>
      </c>
      <c r="J14" s="92">
        <f>J13*I14</f>
        <v>12659.856</v>
      </c>
      <c r="K14" s="87">
        <v>0.12</v>
      </c>
      <c r="L14" s="92">
        <f>L13*K14</f>
        <v>12659.856</v>
      </c>
      <c r="M14" s="87">
        <v>0.12</v>
      </c>
      <c r="N14" s="92">
        <f>N13*M14</f>
        <v>12659.856</v>
      </c>
    </row>
    <row r="15" spans="1:16">
      <c r="A15" s="80" t="s">
        <v>116</v>
      </c>
      <c r="B15" s="81" t="s">
        <v>117</v>
      </c>
      <c r="C15" s="72">
        <f t="shared" si="0"/>
        <v>0</v>
      </c>
      <c r="D15" s="89">
        <v>0</v>
      </c>
      <c r="E15" s="90" t="s">
        <v>103</v>
      </c>
      <c r="F15" s="83">
        <f>C15</f>
        <v>0</v>
      </c>
      <c r="G15" s="91" t="s">
        <v>15</v>
      </c>
      <c r="H15" s="85">
        <f>C15</f>
        <v>0</v>
      </c>
      <c r="I15" s="90" t="s">
        <v>103</v>
      </c>
      <c r="J15" s="83">
        <f>C15</f>
        <v>0</v>
      </c>
      <c r="K15" s="90" t="s">
        <v>103</v>
      </c>
      <c r="L15" s="83">
        <f>C15</f>
        <v>0</v>
      </c>
      <c r="M15" s="90" t="s">
        <v>103</v>
      </c>
      <c r="N15" s="83">
        <f>C15</f>
        <v>0</v>
      </c>
    </row>
    <row r="16" spans="1:16">
      <c r="A16" s="80" t="s">
        <v>118</v>
      </c>
      <c r="B16" s="81" t="s">
        <v>119</v>
      </c>
      <c r="C16" s="72">
        <f t="shared" si="0"/>
        <v>0</v>
      </c>
      <c r="D16" s="89">
        <f>D15*0.02</f>
        <v>0</v>
      </c>
      <c r="E16" s="87">
        <v>0.02</v>
      </c>
      <c r="F16" s="92">
        <f>F15*E16</f>
        <v>0</v>
      </c>
      <c r="G16" s="93"/>
      <c r="H16" s="94">
        <f>H15*G16</f>
        <v>0</v>
      </c>
      <c r="I16" s="87"/>
      <c r="J16" s="92">
        <f>J15*I16</f>
        <v>0</v>
      </c>
      <c r="K16" s="87">
        <v>0.02</v>
      </c>
      <c r="L16" s="92">
        <f>L15*K16</f>
        <v>0</v>
      </c>
      <c r="M16" s="87">
        <v>0.05</v>
      </c>
      <c r="N16" s="92">
        <f>N15*M16</f>
        <v>0</v>
      </c>
    </row>
    <row r="17" spans="1:14">
      <c r="A17" s="80" t="s">
        <v>120</v>
      </c>
      <c r="B17" s="81" t="s">
        <v>121</v>
      </c>
      <c r="C17" s="72">
        <f t="shared" si="0"/>
        <v>0</v>
      </c>
      <c r="D17" s="95">
        <v>0</v>
      </c>
      <c r="E17" s="90" t="s">
        <v>103</v>
      </c>
      <c r="F17" s="92" t="s">
        <v>103</v>
      </c>
      <c r="G17" s="96" t="s">
        <v>15</v>
      </c>
      <c r="H17" s="94" t="s">
        <v>15</v>
      </c>
      <c r="I17" s="90" t="s">
        <v>103</v>
      </c>
      <c r="J17" s="92" t="s">
        <v>103</v>
      </c>
      <c r="K17" s="90" t="s">
        <v>103</v>
      </c>
      <c r="L17" s="92" t="s">
        <v>103</v>
      </c>
      <c r="M17" s="90" t="s">
        <v>103</v>
      </c>
      <c r="N17" s="92" t="s">
        <v>103</v>
      </c>
    </row>
    <row r="18" spans="1:14">
      <c r="A18" s="80" t="s">
        <v>122</v>
      </c>
      <c r="B18" s="81" t="s">
        <v>123</v>
      </c>
      <c r="C18" s="72">
        <f t="shared" si="0"/>
        <v>0</v>
      </c>
      <c r="D18" s="89">
        <f>D17*0.05</f>
        <v>0</v>
      </c>
      <c r="E18" s="87">
        <v>0.05</v>
      </c>
      <c r="F18" s="92">
        <f>$C$17*E18</f>
        <v>0</v>
      </c>
      <c r="G18" s="93"/>
      <c r="H18" s="94">
        <f>$C$17*G18</f>
        <v>0</v>
      </c>
      <c r="I18" s="87"/>
      <c r="J18" s="92">
        <f>$C$17*I18</f>
        <v>0</v>
      </c>
      <c r="K18" s="87">
        <v>0.05</v>
      </c>
      <c r="L18" s="92">
        <f>$C$17*K18</f>
        <v>0</v>
      </c>
      <c r="M18" s="87">
        <v>0.02</v>
      </c>
      <c r="N18" s="92">
        <f>$C$17*M18</f>
        <v>0</v>
      </c>
    </row>
    <row r="19" spans="1:14">
      <c r="A19" s="80" t="s">
        <v>124</v>
      </c>
      <c r="B19" s="81" t="s">
        <v>125</v>
      </c>
      <c r="C19" s="72">
        <f t="shared" si="0"/>
        <v>23737.23</v>
      </c>
      <c r="D19" s="89">
        <v>0.09</v>
      </c>
      <c r="E19" s="90" t="s">
        <v>15</v>
      </c>
      <c r="F19" s="83">
        <f>C19</f>
        <v>23737.23</v>
      </c>
      <c r="G19" s="91" t="s">
        <v>15</v>
      </c>
      <c r="H19" s="85">
        <f>C19</f>
        <v>23737.23</v>
      </c>
      <c r="I19" s="90" t="s">
        <v>103</v>
      </c>
      <c r="J19" s="83">
        <f>C19</f>
        <v>23737.23</v>
      </c>
      <c r="K19" s="90" t="s">
        <v>103</v>
      </c>
      <c r="L19" s="83">
        <f>C19</f>
        <v>23737.23</v>
      </c>
      <c r="M19" s="90" t="s">
        <v>103</v>
      </c>
      <c r="N19" s="83">
        <f>C19</f>
        <v>23737.23</v>
      </c>
    </row>
    <row r="20" spans="1:14">
      <c r="A20" s="80" t="s">
        <v>126</v>
      </c>
      <c r="B20" s="81" t="s">
        <v>127</v>
      </c>
      <c r="C20" s="72">
        <f t="shared" si="0"/>
        <v>5274.9400000000005</v>
      </c>
      <c r="D20" s="97">
        <v>0.02</v>
      </c>
      <c r="E20" s="98">
        <v>3.0800000000000001E-2</v>
      </c>
      <c r="F20" s="99">
        <f>SUM(F9:F14,F17:F19)*E20</f>
        <v>7084.4075211447998</v>
      </c>
      <c r="G20" s="100">
        <v>3.0800000000000001E-2</v>
      </c>
      <c r="H20" s="101">
        <f>SUM(H9:H14,H17:H19)*G20</f>
        <v>7140.9494843186503</v>
      </c>
      <c r="I20" s="98">
        <v>3.0800000000000001E-2</v>
      </c>
      <c r="J20" s="99">
        <f>SUM(J9:J14,J17:J19)*I20</f>
        <v>7423.659300187901</v>
      </c>
      <c r="K20" s="98">
        <v>3.0800000000000001E-2</v>
      </c>
      <c r="L20" s="83">
        <f>SUM(L9:L19)*K20</f>
        <v>5540.1639832000001</v>
      </c>
      <c r="M20" s="98">
        <v>3.0800000000000001E-2</v>
      </c>
      <c r="N20" s="83">
        <f>SUM(N9:N19)*M20</f>
        <v>5832.6066568000006</v>
      </c>
    </row>
    <row r="21" spans="1:14" ht="15.75" thickBot="1">
      <c r="A21" s="102" t="s">
        <v>128</v>
      </c>
      <c r="B21" s="103" t="s">
        <v>129</v>
      </c>
      <c r="C21" s="104"/>
      <c r="D21" s="105"/>
      <c r="E21" s="106"/>
      <c r="F21" s="107">
        <v>0</v>
      </c>
      <c r="G21" s="108"/>
      <c r="H21" s="109">
        <v>0</v>
      </c>
      <c r="I21" s="106"/>
      <c r="J21" s="107">
        <v>0</v>
      </c>
      <c r="K21" s="106"/>
      <c r="L21" s="107">
        <v>0</v>
      </c>
      <c r="M21" s="106"/>
      <c r="N21" s="107">
        <v>0</v>
      </c>
    </row>
    <row r="22" spans="1:14" ht="30.75" thickBot="1">
      <c r="A22" s="52" t="s">
        <v>130</v>
      </c>
      <c r="B22" s="53" t="s">
        <v>131</v>
      </c>
      <c r="C22" s="110"/>
      <c r="D22" s="55"/>
      <c r="E22" s="56"/>
      <c r="F22" s="57">
        <f>SUM(F9:F21)</f>
        <v>237097.6387271448</v>
      </c>
      <c r="G22" s="58"/>
      <c r="H22" s="111">
        <f>SUM(H9:H21)</f>
        <v>238989.95871544364</v>
      </c>
      <c r="I22" s="56"/>
      <c r="J22" s="57">
        <f>SUM(J9:J21)</f>
        <v>248451.55865693791</v>
      </c>
      <c r="K22" s="56"/>
      <c r="L22" s="57">
        <f>SUM(L9:L21)</f>
        <v>185415.61798320001</v>
      </c>
      <c r="M22" s="56"/>
      <c r="N22" s="57">
        <f>SUM(N9:N21)</f>
        <v>195202.95265680001</v>
      </c>
    </row>
    <row r="23" spans="1:14" ht="15.75" thickBot="1">
      <c r="A23" s="112"/>
      <c r="B23" s="113" t="s">
        <v>132</v>
      </c>
      <c r="C23" s="114"/>
      <c r="D23" s="115"/>
      <c r="E23" s="116"/>
      <c r="F23" s="117"/>
      <c r="G23" s="118"/>
      <c r="H23" s="119"/>
      <c r="I23" s="116"/>
      <c r="J23" s="117"/>
      <c r="K23" s="116"/>
      <c r="L23" s="117"/>
      <c r="M23" s="116"/>
      <c r="N23" s="117"/>
    </row>
    <row r="24" spans="1:14">
      <c r="A24" s="70" t="s">
        <v>133</v>
      </c>
      <c r="B24" s="71" t="s">
        <v>105</v>
      </c>
      <c r="C24" s="120">
        <f>$C$7*D24</f>
        <v>13187.35</v>
      </c>
      <c r="D24" s="121">
        <v>0.05</v>
      </c>
      <c r="E24" s="74">
        <v>23000</v>
      </c>
      <c r="F24" s="75">
        <f>$C$24*E24/24000</f>
        <v>12637.877083333333</v>
      </c>
      <c r="G24" s="76">
        <v>25000</v>
      </c>
      <c r="H24" s="122">
        <f>$C$24*G24/24000</f>
        <v>13736.822916666666</v>
      </c>
      <c r="I24" s="74">
        <v>27500</v>
      </c>
      <c r="J24" s="75">
        <f>$C$24*I24/24000</f>
        <v>15110.505208333334</v>
      </c>
      <c r="K24" s="74">
        <v>24000</v>
      </c>
      <c r="L24" s="79">
        <f>$C$24*K24/21000</f>
        <v>15071.257142857143</v>
      </c>
      <c r="M24" s="74">
        <v>30000</v>
      </c>
      <c r="N24" s="79">
        <f>$C$24*M24/21000</f>
        <v>18839.071428571428</v>
      </c>
    </row>
    <row r="25" spans="1:14">
      <c r="A25" s="80" t="s">
        <v>134</v>
      </c>
      <c r="B25" s="81" t="s">
        <v>106</v>
      </c>
      <c r="C25" s="189">
        <f>$C$7*D25</f>
        <v>15824.82</v>
      </c>
      <c r="D25" s="191">
        <v>0.06</v>
      </c>
      <c r="E25" s="82">
        <v>1.1499999999999999</v>
      </c>
      <c r="F25" s="83">
        <f>F24*(E25-1)</f>
        <v>1895.6815624999988</v>
      </c>
      <c r="G25" s="82">
        <v>1.1499999999999999</v>
      </c>
      <c r="H25" s="123">
        <f>H24*(G25-1)</f>
        <v>2060.5234374999986</v>
      </c>
      <c r="I25" s="82">
        <v>1.1499999999999999</v>
      </c>
      <c r="J25" s="83">
        <f>J24*(I25-1)</f>
        <v>2266.5757812499987</v>
      </c>
      <c r="K25" s="82">
        <v>1.1499999999999999</v>
      </c>
      <c r="L25" s="83">
        <f>L24*(K25-1)</f>
        <v>2260.68857142857</v>
      </c>
      <c r="M25" s="82">
        <v>1.1499999999999999</v>
      </c>
      <c r="N25" s="83">
        <f>N24*(M25-1)</f>
        <v>2825.8607142857127</v>
      </c>
    </row>
    <row r="26" spans="1:14">
      <c r="A26" s="80" t="s">
        <v>135</v>
      </c>
      <c r="B26" s="81" t="s">
        <v>108</v>
      </c>
      <c r="C26" s="189"/>
      <c r="D26" s="191"/>
      <c r="E26" s="124">
        <f>65%*0.85</f>
        <v>0.55249999999999999</v>
      </c>
      <c r="F26" s="83">
        <f>(F24+F25)*E26</f>
        <v>8029.7911518229148</v>
      </c>
      <c r="G26" s="124">
        <f>65%*0.85</f>
        <v>0.55249999999999999</v>
      </c>
      <c r="H26" s="123">
        <f>(H24+H25)*G26</f>
        <v>8728.033860677082</v>
      </c>
      <c r="I26" s="124">
        <f>65%*0.85</f>
        <v>0.55249999999999999</v>
      </c>
      <c r="J26" s="83">
        <f>(J24+J25)*I26</f>
        <v>9600.8372467447916</v>
      </c>
      <c r="K26" s="87"/>
      <c r="L26" s="83"/>
      <c r="M26" s="87"/>
      <c r="N26" s="83"/>
    </row>
    <row r="27" spans="1:14" ht="15.75" thickBot="1">
      <c r="A27" s="102" t="s">
        <v>136</v>
      </c>
      <c r="B27" s="103" t="s">
        <v>111</v>
      </c>
      <c r="C27" s="190"/>
      <c r="D27" s="192"/>
      <c r="E27" s="124">
        <f>40%*0.8</f>
        <v>0.32000000000000006</v>
      </c>
      <c r="F27" s="83">
        <f>(F24+F25)*E27</f>
        <v>4650.7387666666664</v>
      </c>
      <c r="G27" s="124">
        <f>40%*0.8</f>
        <v>0.32000000000000006</v>
      </c>
      <c r="H27" s="123">
        <f>(H24+H25)*G27</f>
        <v>5055.1508333333331</v>
      </c>
      <c r="I27" s="124">
        <f>40%*0.8</f>
        <v>0.32000000000000006</v>
      </c>
      <c r="J27" s="83">
        <f>(J24+J25)*I27</f>
        <v>5560.6659166666677</v>
      </c>
      <c r="K27" s="87"/>
      <c r="L27" s="83"/>
      <c r="M27" s="87"/>
      <c r="N27" s="83"/>
    </row>
    <row r="28" spans="1:14" ht="30.75" thickBot="1">
      <c r="A28" s="125">
        <v>20</v>
      </c>
      <c r="B28" s="126" t="s">
        <v>137</v>
      </c>
      <c r="C28" s="127"/>
      <c r="D28" s="128"/>
      <c r="E28" s="56"/>
      <c r="F28" s="57">
        <f>SUM(F24:F27)</f>
        <v>27214.088564322912</v>
      </c>
      <c r="G28" s="58"/>
      <c r="H28" s="111">
        <f>SUM(H24:H27)</f>
        <v>29580.531048177079</v>
      </c>
      <c r="I28" s="56"/>
      <c r="J28" s="57">
        <f>SUM(J24:J27)</f>
        <v>32538.584152994794</v>
      </c>
      <c r="K28" s="56"/>
      <c r="L28" s="57">
        <f>SUM(L24:L27)</f>
        <v>17331.945714285714</v>
      </c>
      <c r="M28" s="56"/>
      <c r="N28" s="57">
        <f>SUM(N24:N27)</f>
        <v>21664.932142857142</v>
      </c>
    </row>
    <row r="29" spans="1:14" ht="15.75" thickBot="1">
      <c r="A29" s="125">
        <v>21</v>
      </c>
      <c r="B29" s="126" t="s">
        <v>138</v>
      </c>
      <c r="C29" s="127"/>
      <c r="D29" s="128"/>
      <c r="E29" s="56"/>
      <c r="F29" s="129">
        <f>F22+F28</f>
        <v>264311.72729146772</v>
      </c>
      <c r="G29" s="130"/>
      <c r="H29" s="131">
        <f>H22+H28</f>
        <v>268570.48976362072</v>
      </c>
      <c r="I29" s="56"/>
      <c r="J29" s="129">
        <f>J22+J28</f>
        <v>280990.1428099327</v>
      </c>
      <c r="K29" s="56"/>
      <c r="L29" s="129">
        <f>L22+L28</f>
        <v>202747.56369748572</v>
      </c>
      <c r="M29" s="56"/>
      <c r="N29" s="129">
        <f>N22+N28</f>
        <v>216867.88479965716</v>
      </c>
    </row>
    <row r="30" spans="1:14" ht="30.75" thickBot="1">
      <c r="A30" s="132">
        <v>22</v>
      </c>
      <c r="B30" s="133" t="s">
        <v>139</v>
      </c>
      <c r="C30" s="134"/>
      <c r="D30" s="135"/>
      <c r="E30" s="136"/>
      <c r="F30" s="137">
        <f>F29-F29</f>
        <v>0</v>
      </c>
      <c r="G30" s="138"/>
      <c r="H30" s="139">
        <f>H29-F29</f>
        <v>4258.762472153001</v>
      </c>
      <c r="I30" s="140"/>
      <c r="J30" s="137">
        <f>J29-F29</f>
        <v>16678.415518464986</v>
      </c>
      <c r="K30" s="140"/>
      <c r="L30" s="137">
        <f>L29-F29</f>
        <v>-61564.163593981997</v>
      </c>
      <c r="M30" s="140"/>
      <c r="N30" s="137">
        <f>N29-J29</f>
        <v>-64122.258010275546</v>
      </c>
    </row>
    <row r="31" spans="1:14" ht="23.25" customHeight="1" thickBot="1">
      <c r="A31" s="185" t="s">
        <v>140</v>
      </c>
      <c r="B31" s="186"/>
      <c r="C31" s="141"/>
      <c r="D31" s="142"/>
      <c r="E31" s="143"/>
      <c r="F31" s="144">
        <v>0</v>
      </c>
      <c r="G31" s="145"/>
      <c r="H31" s="146">
        <f>H30/F29</f>
        <v>1.611265045177766E-2</v>
      </c>
      <c r="I31" s="143"/>
      <c r="J31" s="147">
        <f>(J29-F29)/F29</f>
        <v>6.3101307268417159E-2</v>
      </c>
      <c r="K31" s="141"/>
      <c r="L31" s="147">
        <f>(L29-F29)/F29</f>
        <v>-0.23292255786324831</v>
      </c>
      <c r="M31" s="143"/>
      <c r="N31" s="147">
        <f>(N29-F29)/F29</f>
        <v>-0.17949957415053411</v>
      </c>
    </row>
    <row r="32" spans="1:14" ht="47.25" customHeight="1">
      <c r="A32" s="148"/>
      <c r="B32" s="187"/>
      <c r="C32" s="187"/>
      <c r="D32" s="187"/>
      <c r="E32" s="187"/>
      <c r="F32" s="187"/>
      <c r="G32" s="187"/>
      <c r="H32" s="188"/>
      <c r="I32" s="187"/>
      <c r="J32" s="187"/>
      <c r="K32" s="187"/>
      <c r="L32" s="187"/>
      <c r="M32" s="187"/>
      <c r="N32" s="187"/>
    </row>
    <row r="33" spans="1:14" ht="31.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 hidden="1">
      <c r="A34" s="149" t="s">
        <v>141</v>
      </c>
      <c r="B34" s="149"/>
      <c r="C34" s="183" t="s">
        <v>142</v>
      </c>
      <c r="D34" s="183"/>
      <c r="E34" s="183"/>
      <c r="F34" s="183"/>
      <c r="G34" s="183"/>
      <c r="H34" s="183"/>
      <c r="I34" s="183"/>
      <c r="J34" s="183"/>
      <c r="K34" s="183"/>
      <c r="L34" s="183"/>
      <c r="M34" s="16"/>
      <c r="N34" s="16"/>
    </row>
    <row r="35" spans="1:14" ht="21" hidden="1" customHeight="1">
      <c r="A35" s="150"/>
      <c r="B35" s="151"/>
      <c r="C35" s="184" t="s">
        <v>143</v>
      </c>
      <c r="D35" s="184"/>
      <c r="E35" s="151"/>
      <c r="F35" s="151"/>
      <c r="G35" s="151"/>
      <c r="H35" s="151"/>
      <c r="M35" s="16"/>
      <c r="N35" s="16"/>
    </row>
    <row r="36" spans="1:14">
      <c r="A36" s="149" t="s">
        <v>144</v>
      </c>
      <c r="B36" s="149"/>
      <c r="C36" s="183" t="s">
        <v>145</v>
      </c>
      <c r="D36" s="183"/>
      <c r="E36" s="183"/>
      <c r="F36" s="183"/>
      <c r="G36" s="183"/>
      <c r="H36" s="183"/>
      <c r="I36" s="183"/>
      <c r="J36" s="183"/>
      <c r="K36" s="183"/>
      <c r="L36" s="183"/>
      <c r="M36" s="16"/>
      <c r="N36" s="16"/>
    </row>
    <row r="37" spans="1:14" ht="22.5" customHeight="1">
      <c r="A37" s="152"/>
      <c r="B37" s="152"/>
      <c r="C37" s="184" t="s">
        <v>143</v>
      </c>
      <c r="D37" s="184"/>
      <c r="E37" s="153"/>
      <c r="F37" s="153"/>
      <c r="G37" s="153"/>
      <c r="H37" s="153"/>
      <c r="M37" s="16"/>
      <c r="N37" s="16"/>
    </row>
    <row r="38" spans="1:14">
      <c r="A38" s="149" t="s">
        <v>146</v>
      </c>
      <c r="B38" s="149"/>
      <c r="C38" s="183" t="s">
        <v>147</v>
      </c>
      <c r="D38" s="183"/>
      <c r="E38" s="183"/>
      <c r="F38" s="183"/>
      <c r="G38" s="183"/>
      <c r="H38" s="183"/>
      <c r="I38" s="183"/>
      <c r="J38" s="183"/>
      <c r="K38" s="183"/>
      <c r="L38" s="183"/>
      <c r="M38" s="16"/>
      <c r="N38" s="16"/>
    </row>
    <row r="39" spans="1:14">
      <c r="A39" s="152"/>
      <c r="B39" s="152"/>
      <c r="C39" s="184" t="s">
        <v>143</v>
      </c>
      <c r="D39" s="184"/>
      <c r="E39" s="153"/>
      <c r="F39" s="153"/>
      <c r="G39" s="153"/>
      <c r="H39" s="153"/>
      <c r="M39" s="16"/>
      <c r="N39" s="16"/>
    </row>
    <row r="40" spans="1:14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</sheetData>
  <mergeCells count="25">
    <mergeCell ref="O10:O12"/>
    <mergeCell ref="C38:L38"/>
    <mergeCell ref="C39:D39"/>
    <mergeCell ref="A31:B31"/>
    <mergeCell ref="B32:N32"/>
    <mergeCell ref="C34:L34"/>
    <mergeCell ref="C35:D35"/>
    <mergeCell ref="C36:L36"/>
    <mergeCell ref="C37:D37"/>
    <mergeCell ref="C25:C27"/>
    <mergeCell ref="D25:D27"/>
    <mergeCell ref="C10:C12"/>
    <mergeCell ref="D10:D12"/>
    <mergeCell ref="D1:N1"/>
    <mergeCell ref="A2:N2"/>
    <mergeCell ref="A3:N3"/>
    <mergeCell ref="A4:L4"/>
    <mergeCell ref="A5:A6"/>
    <mergeCell ref="B5:B6"/>
    <mergeCell ref="C5:D5"/>
    <mergeCell ref="E5:F5"/>
    <mergeCell ref="G5:H5"/>
    <mergeCell ref="I5:J5"/>
    <mergeCell ref="K5:L5"/>
    <mergeCell ref="M5:N5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zoomScale="130" zoomScaleNormal="130" workbookViewId="0">
      <selection activeCell="C19" sqref="C19"/>
    </sheetView>
  </sheetViews>
  <sheetFormatPr defaultRowHeight="15"/>
  <cols>
    <col min="1" max="1" width="5" style="16" customWidth="1"/>
    <col min="2" max="2" width="38.85546875" style="16" customWidth="1"/>
    <col min="3" max="3" width="20.7109375" style="16" customWidth="1"/>
    <col min="4" max="4" width="23.5703125" style="16" customWidth="1"/>
    <col min="5" max="5" width="24.42578125" style="16" customWidth="1"/>
    <col min="6" max="6" width="19.28515625" style="16" customWidth="1"/>
    <col min="7" max="16384" width="9.140625" style="16"/>
  </cols>
  <sheetData>
    <row r="1" spans="1:6" ht="23.25" customHeight="1">
      <c r="E1" s="16" t="s">
        <v>77</v>
      </c>
    </row>
    <row r="2" spans="1:6" ht="22.5" customHeight="1"/>
    <row r="3" spans="1:6" ht="16.5" customHeight="1">
      <c r="A3" s="172" t="s">
        <v>78</v>
      </c>
      <c r="B3" s="197"/>
      <c r="C3" s="197"/>
      <c r="D3" s="197"/>
      <c r="E3" s="197"/>
    </row>
    <row r="4" spans="1:6" ht="16.5" customHeight="1">
      <c r="A4" s="38"/>
      <c r="B4" s="198" t="s">
        <v>152</v>
      </c>
      <c r="C4" s="198"/>
      <c r="D4" s="198"/>
      <c r="E4" s="198"/>
      <c r="F4" s="199"/>
    </row>
    <row r="5" spans="1:6" ht="16.5" customHeight="1">
      <c r="A5" s="154"/>
      <c r="B5" s="158"/>
      <c r="C5" s="158"/>
      <c r="D5" s="158"/>
      <c r="E5" s="158"/>
      <c r="F5" s="159"/>
    </row>
    <row r="6" spans="1:6" ht="12" customHeight="1">
      <c r="A6" s="156" t="s">
        <v>153</v>
      </c>
      <c r="B6" s="157"/>
      <c r="C6" s="157"/>
      <c r="D6" s="157"/>
      <c r="E6" s="157"/>
      <c r="F6" s="155"/>
    </row>
    <row r="7" spans="1:6" ht="30">
      <c r="A7" s="28" t="s">
        <v>79</v>
      </c>
      <c r="B7" s="28" t="s">
        <v>80</v>
      </c>
      <c r="C7" s="39" t="s">
        <v>95</v>
      </c>
      <c r="D7" s="39" t="s">
        <v>96</v>
      </c>
      <c r="E7" s="39" t="s">
        <v>148</v>
      </c>
      <c r="F7" s="39" t="s">
        <v>81</v>
      </c>
    </row>
    <row r="8" spans="1:6">
      <c r="A8" s="40" t="s">
        <v>82</v>
      </c>
      <c r="B8" s="41" t="s">
        <v>83</v>
      </c>
      <c r="C8" s="42">
        <v>197391841.96000001</v>
      </c>
      <c r="D8" s="42">
        <v>204905965.13999999</v>
      </c>
      <c r="E8" s="160">
        <v>240369581.30000001</v>
      </c>
      <c r="F8" s="43" t="s">
        <v>150</v>
      </c>
    </row>
    <row r="9" spans="1:6">
      <c r="A9" s="40" t="s">
        <v>84</v>
      </c>
      <c r="B9" s="41" t="s">
        <v>85</v>
      </c>
      <c r="C9" s="42">
        <f>'Пр. 9.1.'!F30*1000</f>
        <v>0</v>
      </c>
      <c r="D9" s="42">
        <f>'Пр. 9.1.'!H30*1000</f>
        <v>4258762.4721530005</v>
      </c>
      <c r="E9" s="160">
        <f>'Пр. 9.1.'!J30*1000</f>
        <v>16678415.518464986</v>
      </c>
      <c r="F9" s="43" t="s">
        <v>149</v>
      </c>
    </row>
    <row r="10" spans="1:6" s="44" customFormat="1" ht="24" customHeight="1">
      <c r="A10" s="168" t="s">
        <v>86</v>
      </c>
      <c r="B10" s="169" t="s">
        <v>87</v>
      </c>
      <c r="C10" s="42">
        <v>0</v>
      </c>
      <c r="D10" s="42">
        <f>'Пр. 9.2.'!I14*1000</f>
        <v>0</v>
      </c>
      <c r="E10" s="160" t="e">
        <f>'Пр. 9.2.'!#REF!*1000</f>
        <v>#REF!</v>
      </c>
      <c r="F10" s="43" t="s">
        <v>151</v>
      </c>
    </row>
    <row r="11" spans="1:6" s="44" customFormat="1">
      <c r="A11" s="161"/>
      <c r="B11" s="162" t="s">
        <v>88</v>
      </c>
      <c r="C11" s="163">
        <f>SUM(C8:C10)</f>
        <v>197391841.96000001</v>
      </c>
      <c r="D11" s="163">
        <f>SUM(D8:D10)</f>
        <v>209164727.61215299</v>
      </c>
      <c r="E11" s="163" t="e">
        <f t="shared" ref="E11" si="0">SUM(E8:E10)</f>
        <v>#REF!</v>
      </c>
      <c r="F11" s="164"/>
    </row>
    <row r="12" spans="1:6">
      <c r="C12" s="165">
        <f>(C11-$C$11)/$C$11</f>
        <v>0</v>
      </c>
      <c r="D12" s="165">
        <f>(D11-$C$11)/$C$11</f>
        <v>5.9642209805908154E-2</v>
      </c>
      <c r="E12" s="165" t="e">
        <f>(E11-$C$11)/$C$11</f>
        <v>#REF!</v>
      </c>
    </row>
  </sheetData>
  <mergeCells count="2">
    <mergeCell ref="A3:E3"/>
    <mergeCell ref="B4:F4"/>
  </mergeCells>
  <pageMargins left="0.4" right="0.31496062992125984" top="0.3149606299212598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</vt:i4>
      </vt:variant>
    </vt:vector>
  </HeadingPairs>
  <TitlesOfParts>
    <vt:vector size="15" baseType="lpstr">
      <vt:lpstr>Справочник</vt:lpstr>
      <vt:lpstr>Пр. 9.2.</vt:lpstr>
      <vt:lpstr>Пр. 9.1.</vt:lpstr>
      <vt:lpstr>Пр. 9</vt:lpstr>
      <vt:lpstr>№_типа_сделки</vt:lpstr>
      <vt:lpstr>Вид_договора__краткосрочный___долгосрочный</vt:lpstr>
      <vt:lpstr>'Пр. 9.1.'!Заголовки_для_печати</vt:lpstr>
      <vt:lpstr>Критичн.____критичные____не_критичн.</vt:lpstr>
      <vt:lpstr>'Пр. 9'!Область_печати</vt:lpstr>
      <vt:lpstr>'Пр. 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2015-11-05T06:57:42Z</cp:lastPrinted>
  <dcterms:created xsi:type="dcterms:W3CDTF">2010-09-28T10:04:17Z</dcterms:created>
  <dcterms:modified xsi:type="dcterms:W3CDTF">2015-11-05T07:18:05Z</dcterms:modified>
</cp:coreProperties>
</file>